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135" windowWidth="9525" windowHeight="7290" tabRatio="764" activeTab="2"/>
  </bookViews>
  <sheets>
    <sheet name="BG DICIEMBRE 2016" sheetId="1" r:id="rId1"/>
    <sheet name="ER DICIEMBRE 2016" sheetId="2" r:id="rId2"/>
    <sheet name="NOTAS" sheetId="11" r:id="rId3"/>
    <sheet name="BG COMPARATIVO" sheetId="9" state="hidden" r:id="rId4"/>
    <sheet name="ER COMPARATIVO" sheetId="10" state="hidden" r:id="rId5"/>
    <sheet name="PPTO DICIEMBRE 2013" sheetId="8" state="hidden" r:id="rId6"/>
    <sheet name="FC DICIEMBRE 2013" sheetId="3" state="hidden" r:id="rId7"/>
    <sheet name="CARTERA" sheetId="5" state="hidden" r:id="rId8"/>
    <sheet name="Hoja1" sheetId="6" state="hidden" r:id="rId9"/>
  </sheets>
  <definedNames>
    <definedName name="_xlnm.Print_Titles" localSheetId="5">'PPTO DICIEMBRE 2013'!$1:$6</definedName>
  </definedNames>
  <calcPr calcId="145621"/>
</workbook>
</file>

<file path=xl/calcChain.xml><?xml version="1.0" encoding="utf-8"?>
<calcChain xmlns="http://schemas.openxmlformats.org/spreadsheetml/2006/main">
  <c r="F38" i="2" l="1"/>
  <c r="F63" i="2"/>
  <c r="H14" i="1"/>
  <c r="H12" i="1"/>
  <c r="C19" i="1"/>
  <c r="G229" i="11"/>
  <c r="G146" i="11"/>
  <c r="F44" i="2"/>
  <c r="G141" i="11"/>
  <c r="G72" i="11"/>
  <c r="G85" i="11"/>
  <c r="F59" i="2"/>
  <c r="D59" i="2"/>
  <c r="G37" i="11"/>
  <c r="G24" i="11"/>
  <c r="G10" i="11"/>
  <c r="O62" i="2" l="1"/>
  <c r="O35" i="2"/>
  <c r="O33" i="2"/>
  <c r="O16" i="2"/>
  <c r="O15" i="2"/>
  <c r="O65" i="2"/>
  <c r="O59" i="2"/>
  <c r="O66" i="2" s="1"/>
  <c r="O27" i="2"/>
  <c r="O17" i="2"/>
  <c r="O28" i="2" s="1"/>
  <c r="O68" i="2" s="1"/>
  <c r="I35" i="1" l="1"/>
  <c r="D35" i="1"/>
  <c r="G51" i="11"/>
  <c r="G18" i="11"/>
  <c r="C21" i="10" l="1"/>
  <c r="C25" i="10" s="1"/>
  <c r="C16" i="10"/>
  <c r="C61" i="9"/>
  <c r="C62" i="9" s="1"/>
  <c r="H20" i="9"/>
  <c r="H21" i="9" s="1"/>
  <c r="F18" i="9"/>
  <c r="C18" i="9"/>
  <c r="F21" i="10"/>
  <c r="I21" i="10" s="1"/>
  <c r="F28" i="10"/>
  <c r="C28" i="10"/>
  <c r="I28" i="10" s="1"/>
  <c r="I27" i="10"/>
  <c r="H27" i="10"/>
  <c r="I24" i="10"/>
  <c r="H24" i="10"/>
  <c r="I23" i="10"/>
  <c r="H23" i="10"/>
  <c r="H22" i="10"/>
  <c r="H21" i="10"/>
  <c r="F17" i="10"/>
  <c r="C17" i="10"/>
  <c r="I17" i="10" s="1"/>
  <c r="I16" i="10"/>
  <c r="H16" i="10"/>
  <c r="F13" i="10"/>
  <c r="C13" i="10"/>
  <c r="I12" i="10"/>
  <c r="H12" i="10"/>
  <c r="F83" i="9"/>
  <c r="G83" i="9" s="1"/>
  <c r="C83" i="9"/>
  <c r="I82" i="9"/>
  <c r="H82" i="9"/>
  <c r="I81" i="9"/>
  <c r="H81" i="9"/>
  <c r="I80" i="9"/>
  <c r="H80" i="9"/>
  <c r="I79" i="9"/>
  <c r="H79" i="9"/>
  <c r="H72" i="9"/>
  <c r="I71" i="9"/>
  <c r="H71" i="9"/>
  <c r="F67" i="9"/>
  <c r="C67" i="9"/>
  <c r="H67" i="9" s="1"/>
  <c r="I66" i="9"/>
  <c r="H66" i="9"/>
  <c r="F62" i="9"/>
  <c r="F68" i="9" s="1"/>
  <c r="H61" i="9"/>
  <c r="F36" i="9"/>
  <c r="G36" i="9" s="1"/>
  <c r="C36" i="9"/>
  <c r="I36" i="9" s="1"/>
  <c r="I35" i="9"/>
  <c r="H35" i="9"/>
  <c r="I34" i="9"/>
  <c r="H34" i="9"/>
  <c r="I33" i="9"/>
  <c r="H33" i="9"/>
  <c r="I32" i="9"/>
  <c r="H32" i="9"/>
  <c r="F26" i="9"/>
  <c r="C26" i="9"/>
  <c r="I25" i="9"/>
  <c r="H25" i="9"/>
  <c r="F22" i="9"/>
  <c r="F28" i="9" s="1"/>
  <c r="G26" i="9" s="1"/>
  <c r="C22" i="9"/>
  <c r="I22" i="9" s="1"/>
  <c r="G21" i="9"/>
  <c r="F21" i="9"/>
  <c r="D21" i="9"/>
  <c r="C21" i="9"/>
  <c r="I20" i="9"/>
  <c r="I17" i="9"/>
  <c r="H17" i="9"/>
  <c r="G14" i="9"/>
  <c r="F14" i="9"/>
  <c r="D14" i="9"/>
  <c r="C14" i="9"/>
  <c r="I14" i="9" s="1"/>
  <c r="I13" i="9"/>
  <c r="G63" i="8"/>
  <c r="I21" i="9" l="1"/>
  <c r="I67" i="9"/>
  <c r="F25" i="10"/>
  <c r="I62" i="9"/>
  <c r="I25" i="10"/>
  <c r="C18" i="10"/>
  <c r="D12" i="10" s="1"/>
  <c r="D32" i="9"/>
  <c r="D34" i="9"/>
  <c r="D33" i="9"/>
  <c r="G82" i="9"/>
  <c r="G81" i="9"/>
  <c r="G79" i="9"/>
  <c r="H83" i="9"/>
  <c r="G80" i="9"/>
  <c r="I61" i="9"/>
  <c r="D79" i="9"/>
  <c r="D80" i="9"/>
  <c r="D81" i="9"/>
  <c r="D82" i="9"/>
  <c r="D83" i="9"/>
  <c r="I83" i="9"/>
  <c r="I18" i="9"/>
  <c r="G35" i="9"/>
  <c r="G32" i="9"/>
  <c r="G33" i="9"/>
  <c r="G34" i="9"/>
  <c r="F18" i="10"/>
  <c r="G13" i="10" s="1"/>
  <c r="G17" i="10"/>
  <c r="F30" i="10"/>
  <c r="D22" i="10"/>
  <c r="D23" i="10"/>
  <c r="D18" i="10"/>
  <c r="D24" i="10"/>
  <c r="D35" i="9"/>
  <c r="H36" i="9"/>
  <c r="H62" i="9"/>
  <c r="C68" i="9"/>
  <c r="C30" i="10"/>
  <c r="C32" i="10" s="1"/>
  <c r="C73" i="9" s="1"/>
  <c r="I26" i="9"/>
  <c r="D36" i="9"/>
  <c r="H17" i="10"/>
  <c r="G23" i="10"/>
  <c r="D25" i="10"/>
  <c r="C28" i="9"/>
  <c r="D26" i="9" s="1"/>
  <c r="D13" i="10"/>
  <c r="I13" i="10"/>
  <c r="D17" i="10"/>
  <c r="G22" i="10"/>
  <c r="H28" i="10"/>
  <c r="H22" i="9"/>
  <c r="H26" i="9"/>
  <c r="H25" i="10"/>
  <c r="G28" i="9"/>
  <c r="H13" i="10"/>
  <c r="G22" i="9"/>
  <c r="I16" i="1"/>
  <c r="G25" i="10" l="1"/>
  <c r="G27" i="10"/>
  <c r="G28" i="10" s="1"/>
  <c r="D27" i="10"/>
  <c r="D28" i="10" s="1"/>
  <c r="G24" i="10"/>
  <c r="G18" i="10"/>
  <c r="G12" i="10"/>
  <c r="I18" i="10"/>
  <c r="H18" i="10"/>
  <c r="G30" i="10"/>
  <c r="F32" i="10"/>
  <c r="I28" i="9"/>
  <c r="D28" i="9"/>
  <c r="H28" i="9"/>
  <c r="D22" i="9"/>
  <c r="D32" i="10"/>
  <c r="I30" i="10"/>
  <c r="H30" i="10"/>
  <c r="D30" i="10"/>
  <c r="H68" i="9"/>
  <c r="I68" i="9"/>
  <c r="C61" i="3"/>
  <c r="H32" i="10" l="1"/>
  <c r="F73" i="9"/>
  <c r="I32" i="10"/>
  <c r="C74" i="9"/>
  <c r="G32" i="10"/>
  <c r="G84" i="8"/>
  <c r="G82" i="8" s="1"/>
  <c r="I85" i="8"/>
  <c r="E84" i="8"/>
  <c r="C82" i="8"/>
  <c r="D83" i="8"/>
  <c r="F83" i="8" s="1"/>
  <c r="I83" i="8"/>
  <c r="J83" i="8"/>
  <c r="K83" i="8" s="1"/>
  <c r="J101" i="8"/>
  <c r="J102" i="8"/>
  <c r="J103" i="8"/>
  <c r="J104" i="8"/>
  <c r="E105" i="8"/>
  <c r="E9" i="8"/>
  <c r="C9" i="8"/>
  <c r="F74" i="9" l="1"/>
  <c r="I74" i="9" s="1"/>
  <c r="C75" i="9"/>
  <c r="D74" i="9" s="1"/>
  <c r="H73" i="9"/>
  <c r="I73" i="9"/>
  <c r="I84" i="8"/>
  <c r="C63" i="8"/>
  <c r="G34" i="8"/>
  <c r="C34" i="8"/>
  <c r="G100" i="8"/>
  <c r="G105" i="8" s="1"/>
  <c r="J105" i="8" s="1"/>
  <c r="C100" i="8"/>
  <c r="C105" i="8" s="1"/>
  <c r="G97" i="8"/>
  <c r="G8" i="8" s="1"/>
  <c r="G9" i="8" s="1"/>
  <c r="F114" i="8"/>
  <c r="F113" i="8"/>
  <c r="F75" i="9" l="1"/>
  <c r="G74" i="9" s="1"/>
  <c r="H74" i="9"/>
  <c r="D67" i="9"/>
  <c r="D75" i="9"/>
  <c r="D72" i="9"/>
  <c r="D71" i="9"/>
  <c r="D66" i="9"/>
  <c r="D62" i="9"/>
  <c r="D68" i="9"/>
  <c r="D73" i="9"/>
  <c r="C13" i="3"/>
  <c r="C64" i="3"/>
  <c r="C77" i="3"/>
  <c r="C85" i="3"/>
  <c r="C65" i="3"/>
  <c r="C38" i="3"/>
  <c r="C78" i="3"/>
  <c r="C79" i="3"/>
  <c r="C28" i="3"/>
  <c r="C34" i="3"/>
  <c r="C35" i="3"/>
  <c r="C80" i="3"/>
  <c r="C75" i="3"/>
  <c r="C47" i="3"/>
  <c r="I75" i="9" l="1"/>
  <c r="H75" i="9"/>
  <c r="G72" i="9"/>
  <c r="G71" i="9"/>
  <c r="G66" i="9"/>
  <c r="G62" i="9"/>
  <c r="G75" i="9"/>
  <c r="G68" i="9"/>
  <c r="G67" i="9"/>
  <c r="G73" i="9"/>
  <c r="G48" i="8"/>
  <c r="G72" i="8" l="1"/>
  <c r="D90" i="3" l="1"/>
  <c r="G86" i="8" l="1"/>
  <c r="E86" i="8"/>
  <c r="C86" i="8"/>
  <c r="G115" i="8"/>
  <c r="E115" i="8"/>
  <c r="D115" i="8"/>
  <c r="F115" i="8" s="1"/>
  <c r="C115" i="8"/>
  <c r="J110" i="8"/>
  <c r="D110" i="8"/>
  <c r="F110" i="8" s="1"/>
  <c r="G111" i="8"/>
  <c r="G116" i="8" s="1"/>
  <c r="E111" i="8"/>
  <c r="C111" i="8"/>
  <c r="E99" i="8"/>
  <c r="C99" i="8"/>
  <c r="J98" i="8"/>
  <c r="K98" i="8" s="1"/>
  <c r="I98" i="8"/>
  <c r="D98" i="8"/>
  <c r="F98" i="8" s="1"/>
  <c r="I97" i="8"/>
  <c r="D97" i="8"/>
  <c r="F97" i="8" s="1"/>
  <c r="J114" i="8"/>
  <c r="H114" i="8"/>
  <c r="J113" i="8"/>
  <c r="D104" i="8"/>
  <c r="F104" i="8" s="1"/>
  <c r="D103" i="8"/>
  <c r="F103" i="8" s="1"/>
  <c r="D102" i="8"/>
  <c r="F102" i="8" s="1"/>
  <c r="G90" i="8"/>
  <c r="E90" i="8"/>
  <c r="C90" i="8"/>
  <c r="J89" i="8"/>
  <c r="K89" i="8" s="1"/>
  <c r="I89" i="8"/>
  <c r="D89" i="8"/>
  <c r="F89" i="8" s="1"/>
  <c r="J85" i="8"/>
  <c r="K85" i="8" s="1"/>
  <c r="D85" i="8"/>
  <c r="F85" i="8" s="1"/>
  <c r="J84" i="8"/>
  <c r="K84" i="8" s="1"/>
  <c r="D84" i="8"/>
  <c r="F84" i="8" s="1"/>
  <c r="J82" i="8"/>
  <c r="K82" i="8" s="1"/>
  <c r="I82" i="8"/>
  <c r="D82" i="8"/>
  <c r="F82" i="8" s="1"/>
  <c r="J81" i="8"/>
  <c r="K81" i="8" s="1"/>
  <c r="I81" i="8"/>
  <c r="D81" i="8"/>
  <c r="F81" i="8" s="1"/>
  <c r="G79" i="8"/>
  <c r="E79" i="8"/>
  <c r="C79" i="8"/>
  <c r="J78" i="8"/>
  <c r="K78" i="8" s="1"/>
  <c r="I78" i="8"/>
  <c r="D78" i="8"/>
  <c r="F78" i="8" s="1"/>
  <c r="J77" i="8"/>
  <c r="K77" i="8" s="1"/>
  <c r="I77" i="8"/>
  <c r="D77" i="8"/>
  <c r="F77" i="8" s="1"/>
  <c r="J76" i="8"/>
  <c r="K76" i="8" s="1"/>
  <c r="I76" i="8"/>
  <c r="D76" i="8"/>
  <c r="F76" i="8" s="1"/>
  <c r="J75" i="8"/>
  <c r="K75" i="8" s="1"/>
  <c r="I75" i="8"/>
  <c r="D75" i="8"/>
  <c r="F75" i="8" s="1"/>
  <c r="J74" i="8"/>
  <c r="K74" i="8" s="1"/>
  <c r="I74" i="8"/>
  <c r="D74" i="8"/>
  <c r="F74" i="8" s="1"/>
  <c r="J73" i="8"/>
  <c r="K73" i="8" s="1"/>
  <c r="I73" i="8"/>
  <c r="D73" i="8"/>
  <c r="F73" i="8" s="1"/>
  <c r="J72" i="8"/>
  <c r="K72" i="8" s="1"/>
  <c r="I72" i="8"/>
  <c r="D72" i="8"/>
  <c r="F72" i="8" s="1"/>
  <c r="J71" i="8"/>
  <c r="K71" i="8" s="1"/>
  <c r="I71" i="8"/>
  <c r="D71" i="8"/>
  <c r="F71" i="8" s="1"/>
  <c r="J70" i="8"/>
  <c r="K70" i="8" s="1"/>
  <c r="I70" i="8"/>
  <c r="D70" i="8"/>
  <c r="F70" i="8" s="1"/>
  <c r="E67" i="8"/>
  <c r="J66" i="8"/>
  <c r="K66" i="8" s="1"/>
  <c r="I66" i="8"/>
  <c r="D66" i="8"/>
  <c r="F66" i="8" s="1"/>
  <c r="J65" i="8"/>
  <c r="K65" i="8" s="1"/>
  <c r="I65" i="8"/>
  <c r="D65" i="8"/>
  <c r="F65" i="8" s="1"/>
  <c r="J64" i="8"/>
  <c r="K64" i="8" s="1"/>
  <c r="I64" i="8"/>
  <c r="D64" i="8"/>
  <c r="F64" i="8" s="1"/>
  <c r="D63" i="8"/>
  <c r="F63" i="8" s="1"/>
  <c r="J62" i="8"/>
  <c r="K62" i="8" s="1"/>
  <c r="I62" i="8"/>
  <c r="D62" i="8"/>
  <c r="F62" i="8" s="1"/>
  <c r="E59" i="8"/>
  <c r="C59" i="8"/>
  <c r="G58" i="8"/>
  <c r="D58" i="8"/>
  <c r="F58" i="8" s="1"/>
  <c r="J57" i="8"/>
  <c r="K57" i="8" s="1"/>
  <c r="I57" i="8"/>
  <c r="D57" i="8"/>
  <c r="F57" i="8" s="1"/>
  <c r="J56" i="8"/>
  <c r="K56" i="8" s="1"/>
  <c r="I56" i="8"/>
  <c r="D56" i="8"/>
  <c r="F56" i="8" s="1"/>
  <c r="J55" i="8"/>
  <c r="K55" i="8" s="1"/>
  <c r="I55" i="8"/>
  <c r="D55" i="8"/>
  <c r="F55" i="8" s="1"/>
  <c r="J54" i="8"/>
  <c r="K54" i="8" s="1"/>
  <c r="I54" i="8"/>
  <c r="D54" i="8"/>
  <c r="F54" i="8" s="1"/>
  <c r="J53" i="8"/>
  <c r="K53" i="8" s="1"/>
  <c r="I53" i="8"/>
  <c r="D53" i="8"/>
  <c r="F53" i="8" s="1"/>
  <c r="J52" i="8"/>
  <c r="K52" i="8" s="1"/>
  <c r="I52" i="8"/>
  <c r="D52" i="8"/>
  <c r="F52" i="8" s="1"/>
  <c r="J51" i="8"/>
  <c r="K51" i="8" s="1"/>
  <c r="I51" i="8"/>
  <c r="D51" i="8"/>
  <c r="F51" i="8" s="1"/>
  <c r="J50" i="8"/>
  <c r="K50" i="8" s="1"/>
  <c r="I50" i="8"/>
  <c r="D50" i="8"/>
  <c r="F50" i="8" s="1"/>
  <c r="J49" i="8"/>
  <c r="K49" i="8" s="1"/>
  <c r="I49" i="8"/>
  <c r="D49" i="8"/>
  <c r="F49" i="8" s="1"/>
  <c r="J48" i="8"/>
  <c r="K48" i="8" s="1"/>
  <c r="I48" i="8"/>
  <c r="D48" i="8"/>
  <c r="F48" i="8" s="1"/>
  <c r="G47" i="8"/>
  <c r="I47" i="8" s="1"/>
  <c r="D47" i="8"/>
  <c r="F47" i="8" s="1"/>
  <c r="J46" i="8"/>
  <c r="K46" i="8" s="1"/>
  <c r="I46" i="8"/>
  <c r="D46" i="8"/>
  <c r="F46" i="8" s="1"/>
  <c r="J45" i="8"/>
  <c r="K45" i="8" s="1"/>
  <c r="I45" i="8"/>
  <c r="D45" i="8"/>
  <c r="F45" i="8" s="1"/>
  <c r="G42" i="8"/>
  <c r="E42" i="8"/>
  <c r="C42" i="8"/>
  <c r="J41" i="8"/>
  <c r="K41" i="8" s="1"/>
  <c r="I41" i="8"/>
  <c r="D41" i="8"/>
  <c r="F41" i="8" s="1"/>
  <c r="E38" i="8"/>
  <c r="J37" i="8"/>
  <c r="K37" i="8" s="1"/>
  <c r="I37" i="8"/>
  <c r="D37" i="8"/>
  <c r="F37" i="8" s="1"/>
  <c r="J36" i="8"/>
  <c r="K36" i="8" s="1"/>
  <c r="I36" i="8"/>
  <c r="D36" i="8"/>
  <c r="F36" i="8" s="1"/>
  <c r="J35" i="8"/>
  <c r="K35" i="8" s="1"/>
  <c r="I35" i="8"/>
  <c r="D35" i="8"/>
  <c r="F35" i="8" s="1"/>
  <c r="D34" i="8"/>
  <c r="F34" i="8" s="1"/>
  <c r="C38" i="8"/>
  <c r="J33" i="8"/>
  <c r="K33" i="8" s="1"/>
  <c r="I33" i="8"/>
  <c r="D33" i="8"/>
  <c r="F33" i="8" s="1"/>
  <c r="J32" i="8"/>
  <c r="K32" i="8" s="1"/>
  <c r="I32" i="8"/>
  <c r="D32" i="8"/>
  <c r="F32" i="8" s="1"/>
  <c r="J31" i="8"/>
  <c r="K31" i="8" s="1"/>
  <c r="I31" i="8"/>
  <c r="D31" i="8"/>
  <c r="F31" i="8" s="1"/>
  <c r="J30" i="8"/>
  <c r="K30" i="8" s="1"/>
  <c r="I30" i="8"/>
  <c r="D30" i="8"/>
  <c r="F30" i="8" s="1"/>
  <c r="J29" i="8"/>
  <c r="K29" i="8" s="1"/>
  <c r="I29" i="8"/>
  <c r="D29" i="8"/>
  <c r="F29" i="8" s="1"/>
  <c r="J28" i="8"/>
  <c r="K28" i="8" s="1"/>
  <c r="I28" i="8"/>
  <c r="D28" i="8"/>
  <c r="F28" i="8" s="1"/>
  <c r="G25" i="8"/>
  <c r="E25" i="8"/>
  <c r="C25" i="8"/>
  <c r="J24" i="8"/>
  <c r="K24" i="8" s="1"/>
  <c r="I24" i="8"/>
  <c r="D24" i="8"/>
  <c r="F24" i="8" s="1"/>
  <c r="G21" i="8"/>
  <c r="E21" i="8"/>
  <c r="C21" i="8"/>
  <c r="J20" i="8"/>
  <c r="D20" i="8"/>
  <c r="F20" i="8" s="1"/>
  <c r="J19" i="8"/>
  <c r="K19" i="8" s="1"/>
  <c r="I19" i="8"/>
  <c r="D19" i="8"/>
  <c r="F19" i="8" s="1"/>
  <c r="J18" i="8"/>
  <c r="G16" i="8"/>
  <c r="E16" i="8"/>
  <c r="C16" i="8"/>
  <c r="J15" i="8"/>
  <c r="K15" i="8" s="1"/>
  <c r="I15" i="8"/>
  <c r="D15" i="8"/>
  <c r="F15" i="8" s="1"/>
  <c r="J14" i="8"/>
  <c r="K14" i="8" s="1"/>
  <c r="I14" i="8"/>
  <c r="D14" i="8"/>
  <c r="F14" i="8" s="1"/>
  <c r="J13" i="8"/>
  <c r="K13" i="8" s="1"/>
  <c r="I13" i="8"/>
  <c r="D13" i="8"/>
  <c r="F13" i="8" s="1"/>
  <c r="D101" i="8"/>
  <c r="F101" i="8" s="1"/>
  <c r="J100" i="8"/>
  <c r="D100" i="8"/>
  <c r="D8" i="8"/>
  <c r="F8" i="8" l="1"/>
  <c r="F9" i="8" s="1"/>
  <c r="D9" i="8"/>
  <c r="F100" i="8"/>
  <c r="F105" i="8" s="1"/>
  <c r="D105" i="8"/>
  <c r="C116" i="8"/>
  <c r="H13" i="8"/>
  <c r="H20" i="8"/>
  <c r="H65" i="8"/>
  <c r="F86" i="8"/>
  <c r="H86" i="8" s="1"/>
  <c r="H98" i="8"/>
  <c r="D21" i="8"/>
  <c r="F21" i="8"/>
  <c r="H21" i="8" s="1"/>
  <c r="D25" i="8"/>
  <c r="D42" i="8"/>
  <c r="H54" i="8"/>
  <c r="F67" i="8"/>
  <c r="H64" i="8"/>
  <c r="H72" i="8"/>
  <c r="H76" i="8"/>
  <c r="H85" i="8"/>
  <c r="H104" i="8"/>
  <c r="F16" i="8"/>
  <c r="H53" i="8"/>
  <c r="H75" i="8"/>
  <c r="H14" i="8"/>
  <c r="H66" i="8"/>
  <c r="H70" i="8"/>
  <c r="H84" i="8"/>
  <c r="D90" i="8"/>
  <c r="H103" i="8"/>
  <c r="J115" i="8"/>
  <c r="H31" i="8"/>
  <c r="H51" i="8"/>
  <c r="H55" i="8"/>
  <c r="H73" i="8"/>
  <c r="H77" i="8"/>
  <c r="H30" i="8"/>
  <c r="H37" i="8"/>
  <c r="H50" i="8"/>
  <c r="H29" i="8"/>
  <c r="H33" i="8"/>
  <c r="H36" i="8"/>
  <c r="H46" i="8"/>
  <c r="H57" i="8"/>
  <c r="H32" i="8"/>
  <c r="H35" i="8"/>
  <c r="H48" i="8"/>
  <c r="H52" i="8"/>
  <c r="H56" i="8"/>
  <c r="H74" i="8"/>
  <c r="H78" i="8"/>
  <c r="J111" i="8"/>
  <c r="K111" i="8" s="1"/>
  <c r="D86" i="8"/>
  <c r="E106" i="8"/>
  <c r="D111" i="8"/>
  <c r="D116" i="8" s="1"/>
  <c r="J86" i="8"/>
  <c r="H100" i="8"/>
  <c r="C106" i="8"/>
  <c r="H115" i="8"/>
  <c r="E116" i="8"/>
  <c r="I116" i="8" s="1"/>
  <c r="I86" i="8"/>
  <c r="J16" i="8"/>
  <c r="K16" i="8" s="1"/>
  <c r="H110" i="8"/>
  <c r="F111" i="8"/>
  <c r="I111" i="8"/>
  <c r="H34" i="8"/>
  <c r="H58" i="8"/>
  <c r="H97" i="8"/>
  <c r="H63" i="8"/>
  <c r="G59" i="8"/>
  <c r="I59" i="8" s="1"/>
  <c r="I79" i="8"/>
  <c r="J97" i="8"/>
  <c r="D99" i="8"/>
  <c r="F25" i="8"/>
  <c r="H25" i="8" s="1"/>
  <c r="F99" i="8"/>
  <c r="J47" i="8"/>
  <c r="K47" i="8" s="1"/>
  <c r="G99" i="8"/>
  <c r="J99" i="8" s="1"/>
  <c r="F90" i="8"/>
  <c r="H90" i="8" s="1"/>
  <c r="H101" i="8"/>
  <c r="D16" i="8"/>
  <c r="I42" i="8"/>
  <c r="I90" i="8"/>
  <c r="D59" i="8"/>
  <c r="I21" i="8"/>
  <c r="E92" i="8"/>
  <c r="H45" i="8"/>
  <c r="C67" i="8"/>
  <c r="D79" i="8"/>
  <c r="H49" i="8"/>
  <c r="H28" i="8"/>
  <c r="I8" i="8"/>
  <c r="I25" i="8"/>
  <c r="J25" i="8"/>
  <c r="K25" i="8" s="1"/>
  <c r="H89" i="8"/>
  <c r="J90" i="8"/>
  <c r="K90" i="8" s="1"/>
  <c r="J42" i="8"/>
  <c r="K42" i="8" s="1"/>
  <c r="I58" i="8"/>
  <c r="J58" i="8"/>
  <c r="K58" i="8" s="1"/>
  <c r="J79" i="8"/>
  <c r="K79" i="8" s="1"/>
  <c r="D38" i="8"/>
  <c r="D67" i="8"/>
  <c r="I16" i="8"/>
  <c r="J21" i="8"/>
  <c r="K21" i="8" s="1"/>
  <c r="I34" i="8"/>
  <c r="G38" i="8"/>
  <c r="I38" i="8" s="1"/>
  <c r="J34" i="8"/>
  <c r="K34" i="8" s="1"/>
  <c r="H47" i="8"/>
  <c r="I63" i="8"/>
  <c r="G67" i="8"/>
  <c r="I67" i="8" s="1"/>
  <c r="J63" i="8"/>
  <c r="K63" i="8" s="1"/>
  <c r="H71" i="8"/>
  <c r="H113" i="8"/>
  <c r="E118" i="8" l="1"/>
  <c r="D106" i="8"/>
  <c r="D118" i="8" s="1"/>
  <c r="H105" i="8"/>
  <c r="H15" i="8"/>
  <c r="H62" i="8"/>
  <c r="H82" i="8"/>
  <c r="F38" i="8"/>
  <c r="H24" i="8"/>
  <c r="H8" i="8"/>
  <c r="J8" i="8"/>
  <c r="K8" i="8" s="1"/>
  <c r="J116" i="8"/>
  <c r="K116" i="8" s="1"/>
  <c r="C92" i="8"/>
  <c r="J59" i="8"/>
  <c r="K59" i="8" s="1"/>
  <c r="H111" i="8"/>
  <c r="F116" i="8"/>
  <c r="H116" i="8" s="1"/>
  <c r="H19" i="8"/>
  <c r="G106" i="8"/>
  <c r="I99" i="8"/>
  <c r="K97" i="8"/>
  <c r="F106" i="8"/>
  <c r="H99" i="8"/>
  <c r="F79" i="8"/>
  <c r="H79" i="8" s="1"/>
  <c r="F59" i="8"/>
  <c r="H59" i="8" s="1"/>
  <c r="K86" i="8"/>
  <c r="D92" i="8"/>
  <c r="G92" i="8"/>
  <c r="H41" i="8"/>
  <c r="F42" i="8"/>
  <c r="H42" i="8" s="1"/>
  <c r="H81" i="8"/>
  <c r="H102" i="8"/>
  <c r="H38" i="8"/>
  <c r="H67" i="8"/>
  <c r="J38" i="8"/>
  <c r="K38" i="8" s="1"/>
  <c r="H16" i="8"/>
  <c r="J67" i="8"/>
  <c r="K67" i="8" s="1"/>
  <c r="D82" i="5"/>
  <c r="G118" i="8" l="1"/>
  <c r="J106" i="8"/>
  <c r="I118" i="8"/>
  <c r="K106" i="8"/>
  <c r="K99" i="8"/>
  <c r="I92" i="8"/>
  <c r="I106" i="8"/>
  <c r="F92" i="8"/>
  <c r="H92" i="8"/>
  <c r="J92" i="8"/>
  <c r="H106" i="8"/>
  <c r="F118" i="8"/>
  <c r="H118" i="8" s="1"/>
  <c r="J118" i="8" l="1"/>
  <c r="K118" i="8" s="1"/>
  <c r="K92" i="8"/>
  <c r="I22" i="1" l="1"/>
  <c r="F27" i="2" l="1"/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D17" i="2" l="1"/>
  <c r="F17" i="2"/>
  <c r="D61" i="5"/>
  <c r="D19" i="3" l="1"/>
  <c r="D30" i="1"/>
  <c r="D38" i="5"/>
  <c r="E38" i="5"/>
  <c r="F38" i="5"/>
  <c r="G38" i="5"/>
  <c r="H6" i="5"/>
  <c r="D72" i="5"/>
  <c r="D10" i="1"/>
  <c r="D27" i="2"/>
  <c r="D65" i="2"/>
  <c r="F65" i="2"/>
  <c r="D18" i="1"/>
  <c r="D15" i="1"/>
  <c r="F66" i="2" l="1"/>
  <c r="F28" i="2"/>
  <c r="H38" i="5"/>
  <c r="I23" i="1"/>
  <c r="D22" i="1"/>
  <c r="D33" i="1" s="1"/>
  <c r="D66" i="2"/>
  <c r="D28" i="2"/>
  <c r="D68" i="2" l="1"/>
  <c r="F68" i="2"/>
  <c r="H28" i="1" s="1"/>
  <c r="D92" i="3"/>
  <c r="C118" i="8" l="1"/>
  <c r="C94" i="8"/>
  <c r="D94" i="8"/>
  <c r="D120" i="8" s="1"/>
  <c r="E94" i="8"/>
  <c r="E120" i="8" s="1"/>
  <c r="F94" i="8"/>
  <c r="F120" i="8" s="1"/>
  <c r="I9" i="8"/>
  <c r="H9" i="8"/>
  <c r="H94" i="8" s="1"/>
  <c r="H120" i="8" s="1"/>
  <c r="G94" i="8"/>
  <c r="J9" i="8"/>
  <c r="K9" i="8" s="1"/>
  <c r="J94" i="8"/>
  <c r="J120" i="8" s="1"/>
  <c r="C120" i="8" l="1"/>
  <c r="G120" i="8"/>
  <c r="I30" i="1"/>
  <c r="I33" i="1" s="1"/>
  <c r="I120" i="8"/>
  <c r="K120" i="8"/>
</calcChain>
</file>

<file path=xl/comments1.xml><?xml version="1.0" encoding="utf-8"?>
<comments xmlns="http://schemas.openxmlformats.org/spreadsheetml/2006/main">
  <authors>
    <author>cjaramilloc</author>
  </authors>
  <commentList>
    <comment ref="H14" authorId="0">
      <text>
        <r>
          <rPr>
            <b/>
            <sz val="8"/>
            <color indexed="81"/>
            <rFont val="Tahoma"/>
            <family val="2"/>
          </rPr>
          <t>seguridad social</t>
        </r>
      </text>
    </comment>
    <comment ref="H15" authorId="0">
      <text>
        <r>
          <rPr>
            <sz val="8"/>
            <color indexed="81"/>
            <rFont val="Tahoma"/>
            <family val="2"/>
          </rPr>
          <t xml:space="preserve">salarios y prestaciones sociales
</t>
        </r>
      </text>
    </comment>
    <comment ref="C19" authorId="0">
      <text>
        <r>
          <rPr>
            <sz val="8"/>
            <color indexed="81"/>
            <rFont val="Tahoma"/>
            <family val="2"/>
          </rPr>
          <t>anticipo del 30% a $2,940,000 servicios academicos por implementacion y diseño de gestion de conocimiento
anticipo vacaciones esperanza $ 100,000</t>
        </r>
      </text>
    </comment>
    <comment ref="C20" authorId="0">
      <text>
        <r>
          <rPr>
            <sz val="8"/>
            <color indexed="81"/>
            <rFont val="Tahoma"/>
            <family val="2"/>
          </rPr>
          <t>retenciones en la fuente a favor</t>
        </r>
      </text>
    </comment>
  </commentList>
</comments>
</file>

<file path=xl/sharedStrings.xml><?xml version="1.0" encoding="utf-8"?>
<sst xmlns="http://schemas.openxmlformats.org/spreadsheetml/2006/main" count="781" uniqueCount="540">
  <si>
    <t>EDIFICIO LOMAS DE JUANAMBU - PROPIEDAD HORIZONTAL</t>
  </si>
  <si>
    <t>Cuenta</t>
  </si>
  <si>
    <t>Parcial</t>
  </si>
  <si>
    <t>Total</t>
  </si>
  <si>
    <t>ACTIVOS</t>
  </si>
  <si>
    <t>PASIVOS</t>
  </si>
  <si>
    <t>Activos Corrientes</t>
  </si>
  <si>
    <t>Pasivos Corrientes</t>
  </si>
  <si>
    <t>Disponible</t>
  </si>
  <si>
    <t>Costos y Gastos por Pagar</t>
  </si>
  <si>
    <t>Retención en la Fuente</t>
  </si>
  <si>
    <t>Bancos</t>
  </si>
  <si>
    <t>Retención de Industria y Comercio</t>
  </si>
  <si>
    <t>Inversiones</t>
  </si>
  <si>
    <t>Derechos Fiduciarios</t>
  </si>
  <si>
    <t>Total Pasivos Corrientes</t>
  </si>
  <si>
    <t>Deudores</t>
  </si>
  <si>
    <t>Otros Pasivos</t>
  </si>
  <si>
    <t>Total  Otros Pasivos</t>
  </si>
  <si>
    <t>TOTAL PASIVOS</t>
  </si>
  <si>
    <t>Total Activos Corrientes</t>
  </si>
  <si>
    <t>Otros Activos</t>
  </si>
  <si>
    <t>PATRIMONIO</t>
  </si>
  <si>
    <t>Diferidos</t>
  </si>
  <si>
    <t>Reservas Acumuladas</t>
  </si>
  <si>
    <t>TOTAL OTROS  ACTIVOS</t>
  </si>
  <si>
    <t>TOTAL PATRIMONIO</t>
  </si>
  <si>
    <t>TOTAL ACTIVOS</t>
  </si>
  <si>
    <t>TOTAL PASIVO + PATRIMONIO</t>
  </si>
  <si>
    <t>CUENTAS DE ORDEN DEUDORAS</t>
  </si>
  <si>
    <t>CUENTAS DE ORDEN DEUDORAS DE CONTROL</t>
  </si>
  <si>
    <t>Maquinaria y Equipo</t>
  </si>
  <si>
    <t>Muebles y Enseres</t>
  </si>
  <si>
    <t>MIGUEL CORRALES</t>
  </si>
  <si>
    <t>DIANA ÁNGEL BRAVO</t>
  </si>
  <si>
    <t>SANDRA ACOSTA GUZMÁN</t>
  </si>
  <si>
    <t>Administradora</t>
  </si>
  <si>
    <t>Contadora</t>
  </si>
  <si>
    <t>TP: 133857-T</t>
  </si>
  <si>
    <t>Estado de Resultados</t>
  </si>
  <si>
    <t>ACUMULADO</t>
  </si>
  <si>
    <t>INGRESOS</t>
  </si>
  <si>
    <t>INGRESOS OPERACIONALES</t>
  </si>
  <si>
    <t>Cuotas de Administración</t>
  </si>
  <si>
    <t>TOTAL INGRESOS OPERACIONALES</t>
  </si>
  <si>
    <t>INGRESOS NO OPERACIONALES</t>
  </si>
  <si>
    <t>Intereses Financieros</t>
  </si>
  <si>
    <t>Intereses Mora Cuota Administración</t>
  </si>
  <si>
    <t>Multas y Recargos</t>
  </si>
  <si>
    <t>TOTAL INGRESOS NO OPERACIONALES</t>
  </si>
  <si>
    <t>TOTAL INGRESOS NETOS</t>
  </si>
  <si>
    <t>GASTOS</t>
  </si>
  <si>
    <t>GASTOS OPERACIONALES ADMINISTRACIÓN</t>
  </si>
  <si>
    <t>Honorarios</t>
  </si>
  <si>
    <t>Servicios</t>
  </si>
  <si>
    <t>Mantenimiento y Reparaciones</t>
  </si>
  <si>
    <t>Adecuación e Instalación</t>
  </si>
  <si>
    <t>TOTAL GASTOS OPERACIONALES</t>
  </si>
  <si>
    <t>GASTOS NO OPERACIONALES</t>
  </si>
  <si>
    <t>TOTAL GASTOS NO OPERACIONALES</t>
  </si>
  <si>
    <t>TP 133857-T</t>
  </si>
  <si>
    <t>EDIFICIO LOMAS DE JUANAMBU</t>
  </si>
  <si>
    <t>NIT 805.013.413-5</t>
  </si>
  <si>
    <t>Concepto</t>
  </si>
  <si>
    <t>Parciales</t>
  </si>
  <si>
    <t>Totales</t>
  </si>
  <si>
    <t>SUBTOTAL INGRESOS</t>
  </si>
  <si>
    <t>GASTOS OPERACIONALES</t>
  </si>
  <si>
    <t>Asesoría Jurídica</t>
  </si>
  <si>
    <t>Otros honorarios</t>
  </si>
  <si>
    <t>Impuestos Retefuente e Ica</t>
  </si>
  <si>
    <t>Impuesto Predial y Mega obras</t>
  </si>
  <si>
    <t xml:space="preserve">Seguro </t>
  </si>
  <si>
    <t>Administración Propiedad Horizontal</t>
  </si>
  <si>
    <t>Aseo Propiedad Horizontal - Personal</t>
  </si>
  <si>
    <t>Aseo Propiedad Horizontal - Insumos</t>
  </si>
  <si>
    <t>Vigilancia Propiedad Horizontal</t>
  </si>
  <si>
    <t>Servicios Públicos</t>
  </si>
  <si>
    <t>Telmex</t>
  </si>
  <si>
    <t>Seguro Áreas Comunes</t>
  </si>
  <si>
    <t>Correo Portes y Fletes</t>
  </si>
  <si>
    <t>Gas Domiciliario</t>
  </si>
  <si>
    <t>Fumigación</t>
  </si>
  <si>
    <t>Gastos Legales - Certificados</t>
  </si>
  <si>
    <t>Planta Eléctrica - Mantenimiento</t>
  </si>
  <si>
    <t>Planta Eléctrica - Repuestos</t>
  </si>
  <si>
    <t>Planta Eléctrica -  Combustibles</t>
  </si>
  <si>
    <t>Ascensores Mantenimiento</t>
  </si>
  <si>
    <t>Puertas - Mantenimiento y Repuesto</t>
  </si>
  <si>
    <t>Motobombas - Mantenimientos y Repuestos</t>
  </si>
  <si>
    <t>Tanques - Mantenimiento</t>
  </si>
  <si>
    <t>Mantenimiento Equipo Incendio</t>
  </si>
  <si>
    <t>Citofonos - Mantenimiento</t>
  </si>
  <si>
    <t>Piscinas y Jacuzzi - Mantmtos e Insumos</t>
  </si>
  <si>
    <t>Gimnasio - Otros Equipos</t>
  </si>
  <si>
    <t>Instalaciones e Implementos Eléctricos</t>
  </si>
  <si>
    <t>Arregl. Ornamentales-Jardinería-Señalizac.</t>
  </si>
  <si>
    <t>Reparaciones Locativas</t>
  </si>
  <si>
    <t>Gastos de Caja Menor</t>
  </si>
  <si>
    <t>Varios Residentes</t>
  </si>
  <si>
    <t>Fondo de Imprevistos 1%</t>
  </si>
  <si>
    <t>Fondo de Reserva</t>
  </si>
  <si>
    <t>Fondo de Capitalización</t>
  </si>
  <si>
    <t>Papelería y Útiles Oficina</t>
  </si>
  <si>
    <t>SUBTOTAL EGRESOS</t>
  </si>
  <si>
    <t>SANDRA ACOSTA GUZMAN</t>
  </si>
  <si>
    <t>NIT: 805.013.413-5</t>
  </si>
  <si>
    <t>CODIGO</t>
  </si>
  <si>
    <t>CONCEPTO</t>
  </si>
  <si>
    <t>PRESUPUESTO</t>
  </si>
  <si>
    <t>EJECUTADO</t>
  </si>
  <si>
    <t>%</t>
  </si>
  <si>
    <t>Cuota de Administración</t>
  </si>
  <si>
    <t>Intereses Entidades Financieras</t>
  </si>
  <si>
    <t>Aprovechamientos</t>
  </si>
  <si>
    <t>Total Ingresos</t>
  </si>
  <si>
    <t>EGRESOS</t>
  </si>
  <si>
    <t>HONORARIOS</t>
  </si>
  <si>
    <t>Asesoría Contable</t>
  </si>
  <si>
    <t>Total Honorarios</t>
  </si>
  <si>
    <t>Total Impuesto</t>
  </si>
  <si>
    <t>SEGUROS</t>
  </si>
  <si>
    <t>Multiriesgo</t>
  </si>
  <si>
    <t>Total Seguros</t>
  </si>
  <si>
    <t>SERVICIOS</t>
  </si>
  <si>
    <t>Acueducto y Alcantarillado</t>
  </si>
  <si>
    <t>Energía Eléctrica</t>
  </si>
  <si>
    <t>Total Servicios</t>
  </si>
  <si>
    <t>Total Contratos de Mantenimiento</t>
  </si>
  <si>
    <t>CONTRATOS DE MANTENIMIENTO</t>
  </si>
  <si>
    <t>514573</t>
  </si>
  <si>
    <t xml:space="preserve">Total  Reparaciones y Adecuaciones </t>
  </si>
  <si>
    <t>DIVERSOS</t>
  </si>
  <si>
    <t>Bonificación Navidad</t>
  </si>
  <si>
    <t>Halloween</t>
  </si>
  <si>
    <t>Novena Navideña</t>
  </si>
  <si>
    <t>Día de Velitas</t>
  </si>
  <si>
    <t>Asamblea y Juntas</t>
  </si>
  <si>
    <t>Total Diversos</t>
  </si>
  <si>
    <t>Fondo de Reserva Ahorro</t>
  </si>
  <si>
    <t>FINANCIEROS Y VARIOS</t>
  </si>
  <si>
    <t>Gastos Bancarios y Extraordinarios</t>
  </si>
  <si>
    <t xml:space="preserve">Total Gastos Bancarios </t>
  </si>
  <si>
    <t>DIANA ANGEL BRAVO</t>
  </si>
  <si>
    <t>Presidente</t>
  </si>
  <si>
    <t>Consejo de Administración</t>
  </si>
  <si>
    <t>Gastos Diversos - Ajustes Diferencias</t>
  </si>
  <si>
    <t>Muebl. Equipos y Decoración Zona Social</t>
  </si>
  <si>
    <t>Adornos navideños</t>
  </si>
  <si>
    <t>REPARACIÓN Y ADECUACIÓN</t>
  </si>
  <si>
    <t>Reservas de Imprevistos</t>
  </si>
  <si>
    <t>TOTAL DEUDORES</t>
  </si>
  <si>
    <t>TOTAL ANTICIPOS CUOTAS</t>
  </si>
  <si>
    <t>Fondo de Ahorro Año Presente</t>
  </si>
  <si>
    <t>Reserva Fondo Ahorro</t>
  </si>
  <si>
    <t>Mes</t>
  </si>
  <si>
    <t>Aztorquiza Bueno Marcela</t>
  </si>
  <si>
    <t>Cabal Sinisterra Fernando Jose</t>
  </si>
  <si>
    <t>Burgos Juan Fernando</t>
  </si>
  <si>
    <t>Villegas Galves Juan Carlos</t>
  </si>
  <si>
    <t>Fecha</t>
  </si>
  <si>
    <t>Apto</t>
  </si>
  <si>
    <t>Cuota Admon</t>
  </si>
  <si>
    <t>Sanción Mora</t>
  </si>
  <si>
    <t>Copropietario</t>
  </si>
  <si>
    <t>Valor</t>
  </si>
  <si>
    <t>Interés Mora</t>
  </si>
  <si>
    <t>Mantenimiento aire acondicionado</t>
  </si>
  <si>
    <t>Juntas y Asambleas</t>
  </si>
  <si>
    <t>Mensajeria</t>
  </si>
  <si>
    <t>Indemnizaciones seguros</t>
  </si>
  <si>
    <t>Muebles y otros Equipos</t>
  </si>
  <si>
    <t>Reparación Salón Social</t>
  </si>
  <si>
    <t>515015</t>
  </si>
  <si>
    <t>Beneficiario</t>
  </si>
  <si>
    <t>TOTAL CUENTAS POR PAGAR</t>
  </si>
  <si>
    <t>Chequera y otros gastos bancarios</t>
  </si>
  <si>
    <t xml:space="preserve">Restaurante </t>
  </si>
  <si>
    <t>Proyectos Especiales</t>
  </si>
  <si>
    <t>Jaramillo Marin Jairo</t>
  </si>
  <si>
    <t>Traslado fiducia</t>
  </si>
  <si>
    <t>Gastos Proyectos Especiales</t>
  </si>
  <si>
    <t>EXCEDENTE TEMPORAL NETO</t>
  </si>
  <si>
    <t>Gastos de Proyectos Especiales</t>
  </si>
  <si>
    <t>TOTAL GASTOS DEL EJERCICIO</t>
  </si>
  <si>
    <t>Intereses de Mora y Sanciones</t>
  </si>
  <si>
    <t>Henao Lopez Mario</t>
  </si>
  <si>
    <t>Representante Legal</t>
  </si>
  <si>
    <t>519530</t>
  </si>
  <si>
    <t>519545</t>
  </si>
  <si>
    <t>519581</t>
  </si>
  <si>
    <t>Fiesta de Halloween</t>
  </si>
  <si>
    <t xml:space="preserve">Eqpos Contra Incendio - Telfns </t>
  </si>
  <si>
    <t>Adornos de Navidad</t>
  </si>
  <si>
    <t>Bonificación Navideña</t>
  </si>
  <si>
    <t>Día de las Velitas</t>
  </si>
  <si>
    <t>Caja General</t>
  </si>
  <si>
    <t>Caja Menor</t>
  </si>
  <si>
    <t>429505</t>
  </si>
  <si>
    <t>425505</t>
  </si>
  <si>
    <t>Ajuste al Peso</t>
  </si>
  <si>
    <t>Eqpos Contra Incend - Aire Acondi.</t>
  </si>
  <si>
    <t>Bienes Comunes y Privados</t>
  </si>
  <si>
    <t>Alvarez Ana Maria</t>
  </si>
  <si>
    <t>Escobar Pedro Nel</t>
  </si>
  <si>
    <t>Rodrigo Otoya y Cia S.C.S.</t>
  </si>
  <si>
    <t>Saavedra Julian</t>
  </si>
  <si>
    <t>Figueroa Ortiz Adolfo Leon</t>
  </si>
  <si>
    <t>Zapata Robles Liliana Cristina</t>
  </si>
  <si>
    <t>Consignacion sin identificar</t>
  </si>
  <si>
    <t>Jaramillo Carlos Arturo</t>
  </si>
  <si>
    <t xml:space="preserve">Anticipo contratista </t>
  </si>
  <si>
    <t>Fondo de Ahorro</t>
  </si>
  <si>
    <t>Vigilancia - Personal</t>
  </si>
  <si>
    <t>Ascensores  Repuestos</t>
  </si>
  <si>
    <t>Piscinas y Jacuzzi - Mantmtos</t>
  </si>
  <si>
    <t>Gimnasio - Mantenimiento</t>
  </si>
  <si>
    <t>Gimnasio - Repuestos</t>
  </si>
  <si>
    <t>Motobombas - Repuestos</t>
  </si>
  <si>
    <t>Mantenimiento Eléctricos</t>
  </si>
  <si>
    <t>Instalaciones, InsumosEléctricos</t>
  </si>
  <si>
    <t>Ayerbe Mosquera Juan Jose</t>
  </si>
  <si>
    <t>Rebolledo Borrero Ana Maria</t>
  </si>
  <si>
    <t>Kadoch Tarragano Alex Asher</t>
  </si>
  <si>
    <t xml:space="preserve">Motobombas - Mantenimientos </t>
  </si>
  <si>
    <t>Jaramillo Gomez Constanza</t>
  </si>
  <si>
    <t>Compra de chequera</t>
  </si>
  <si>
    <t>Imprevistos</t>
  </si>
  <si>
    <t>Imprevistos Planta Electrica</t>
  </si>
  <si>
    <t>Garcia de Corrales Argelia</t>
  </si>
  <si>
    <t>Chavez Garcia Marcela</t>
  </si>
  <si>
    <t>Cuadros Gil Mario German</t>
  </si>
  <si>
    <t>Carvajal Juana</t>
  </si>
  <si>
    <t>Corrales Garcia Miguel</t>
  </si>
  <si>
    <t>CUENTAS POR PAGAR</t>
  </si>
  <si>
    <t>519930</t>
  </si>
  <si>
    <t>519925</t>
  </si>
  <si>
    <t>Echeverri Guzman Fabio</t>
  </si>
  <si>
    <t>514586</t>
  </si>
  <si>
    <t>Sancion e Intereses Mora Copropietarios</t>
  </si>
  <si>
    <t>Predial</t>
  </si>
  <si>
    <t>Vigilancia - Insumos y Equipos</t>
  </si>
  <si>
    <t>Teléfono y Telmex Internet</t>
  </si>
  <si>
    <t>TOTAL FONDOS</t>
  </si>
  <si>
    <t>MENSUAL 2013</t>
  </si>
  <si>
    <t>ANUAL 2013</t>
  </si>
  <si>
    <t>Gatos bancarios - comisiones</t>
  </si>
  <si>
    <t>Jaramillo Jorge Edmundo</t>
  </si>
  <si>
    <t>Llano Carvajal Ana Maria</t>
  </si>
  <si>
    <t>Puertas - Mantenimiento y Repuestos</t>
  </si>
  <si>
    <t>Cheques pendientes de cobro</t>
  </si>
  <si>
    <t>Impuestos</t>
  </si>
  <si>
    <t>511515</t>
  </si>
  <si>
    <t>511595</t>
  </si>
  <si>
    <t>Otros</t>
  </si>
  <si>
    <t>Legales</t>
  </si>
  <si>
    <t>514005</t>
  </si>
  <si>
    <t>Carvajal Juliana</t>
  </si>
  <si>
    <t>Acosta Guzman Sandra</t>
  </si>
  <si>
    <t>ANTICIPOS A CONTRATISTAS Y OTROS</t>
  </si>
  <si>
    <t>Rebolledo Cobo Andres</t>
  </si>
  <si>
    <t>Reposición Mantel</t>
  </si>
  <si>
    <t>Notariales y certificados</t>
  </si>
  <si>
    <t>VARIACION ANUAL</t>
  </si>
  <si>
    <t xml:space="preserve"> - Remodelación Lobby</t>
  </si>
  <si>
    <t>Reclamaciones</t>
  </si>
  <si>
    <t>Demanda Litigios</t>
  </si>
  <si>
    <t>Reclamos Demanda</t>
  </si>
  <si>
    <t>Cardenas Bravo Jairo</t>
  </si>
  <si>
    <t>Aire Acondicionado</t>
  </si>
  <si>
    <t>Reparación por sismo</t>
  </si>
  <si>
    <t>Cuota Anticipada</t>
  </si>
  <si>
    <t>Indemnización Seguros</t>
  </si>
  <si>
    <t>CÓDIGO</t>
  </si>
  <si>
    <t>425015</t>
  </si>
  <si>
    <t>515005</t>
  </si>
  <si>
    <t>514576</t>
  </si>
  <si>
    <t>514583</t>
  </si>
  <si>
    <t>514560</t>
  </si>
  <si>
    <t>514577</t>
  </si>
  <si>
    <t>417010</t>
  </si>
  <si>
    <t>421005</t>
  </si>
  <si>
    <t>513505</t>
  </si>
  <si>
    <t>513506</t>
  </si>
  <si>
    <t>513580</t>
  </si>
  <si>
    <t>Herrera Rojas Alfredo</t>
  </si>
  <si>
    <t>Jaramillo Montoya Pedro Rafael</t>
  </si>
  <si>
    <t>Mazuera Ricardo</t>
  </si>
  <si>
    <t>Lotario Levy Hotmann</t>
  </si>
  <si>
    <t xml:space="preserve">INGRESOS NO OPERATIVOS </t>
  </si>
  <si>
    <t>Imp. Daños Terremoto</t>
  </si>
  <si>
    <t>Total Ingresos No operativos</t>
  </si>
  <si>
    <t>EXCEDENTE (DÉFICIT) ACUMULADO</t>
  </si>
  <si>
    <t>EXCEDENTE (DÉFICIT) OPERATIVO</t>
  </si>
  <si>
    <t>Cuota de Administración 10%</t>
  </si>
  <si>
    <t>Anticipos y otros pasivos</t>
  </si>
  <si>
    <t>EXCEDENTE (DÉFICIT) NO OPERATIVO</t>
  </si>
  <si>
    <t>GASTOS NO OPERATIVOS</t>
  </si>
  <si>
    <t>Total Gatos</t>
  </si>
  <si>
    <t>Total Gastos No Operativos</t>
  </si>
  <si>
    <t>Policia Metropolitana Santiago de Cali</t>
  </si>
  <si>
    <t>Daños por Terremoto</t>
  </si>
  <si>
    <t>Aprovechamiento</t>
  </si>
  <si>
    <t>Fiestas Halloween</t>
  </si>
  <si>
    <t>Total Ingresos de proyectos especiales</t>
  </si>
  <si>
    <t>Total Otros Ingresos No operativos</t>
  </si>
  <si>
    <t>Total Gastos de Proyectos Especiales</t>
  </si>
  <si>
    <t>Gastos de Imprevistos</t>
  </si>
  <si>
    <t>Otros Cobros</t>
  </si>
  <si>
    <t>Borrero de Cobo Miriam</t>
  </si>
  <si>
    <t>Allianz Seguros S.A.</t>
  </si>
  <si>
    <t>Lamparas Tiffany Ltda.</t>
  </si>
  <si>
    <t>CARTERA MES DE DICIEMBRE 2013</t>
  </si>
  <si>
    <t>ANTICIPOS DE CUOTAS DE ADMINISTRACION DE DICIEMBRE DE 2013</t>
  </si>
  <si>
    <t>SALDO FINAL AL 31 DE DICIEMBRE DE 2013</t>
  </si>
  <si>
    <t>SALDO INICIAL A DICIEMBRE 01 DE 2013</t>
  </si>
  <si>
    <t>Flujo de Caja a 31 de Diciembre de 2013</t>
  </si>
  <si>
    <t>EJECUCION MES DICIEMBRE</t>
  </si>
  <si>
    <t>ACUMUL A DICIEMBRE 2013</t>
  </si>
  <si>
    <t>VARIACION ACUMULADA A DICIEMBRE</t>
  </si>
  <si>
    <t>EJECUCION PRESUPUESTO DICIEMBRE 2013</t>
  </si>
  <si>
    <t>Del 01 de Enero al 31 de Diciembre  de 2013</t>
  </si>
  <si>
    <t xml:space="preserve"> Demanda</t>
  </si>
  <si>
    <t>escobar Pedro Nel</t>
  </si>
  <si>
    <t>Gastos Asumidos</t>
  </si>
  <si>
    <t xml:space="preserve"> - Actualizacion Electrica</t>
  </si>
  <si>
    <t xml:space="preserve"> - Señalizacion y jardines</t>
  </si>
  <si>
    <t xml:space="preserve"> - Impermeabilizaciones</t>
  </si>
  <si>
    <t>Impermeabilización</t>
  </si>
  <si>
    <t>Decoración zona social</t>
  </si>
  <si>
    <t>Elementos de Aseo y Cafetería</t>
  </si>
  <si>
    <t>Mensajería</t>
  </si>
  <si>
    <t>Servicio de Lavandería</t>
  </si>
  <si>
    <t>Anticipos cuotas de administración</t>
  </si>
  <si>
    <t>Devolución indemnización por siniestro</t>
  </si>
  <si>
    <t>Consignación a Fiducia</t>
  </si>
  <si>
    <t>Préstamo Servicio Lavandería</t>
  </si>
  <si>
    <t>Honorarios Asesoría Contable</t>
  </si>
  <si>
    <t>Honorarios Asesoría Jurídica</t>
  </si>
  <si>
    <t>Alquiler Equipo de Proyección y Grabación</t>
  </si>
  <si>
    <t>Vigilancia - Equipos y Cámaras</t>
  </si>
  <si>
    <t>Excedente o Deficit Operativo</t>
  </si>
  <si>
    <t>Aumento - Disminución</t>
  </si>
  <si>
    <t>Total Disponible</t>
  </si>
  <si>
    <t>Total Inversiones</t>
  </si>
  <si>
    <t>Total Deudores</t>
  </si>
  <si>
    <t>Diferidos - Seguro</t>
  </si>
  <si>
    <t>Derechos Contingentes - Litigios</t>
  </si>
  <si>
    <t>Total Cuentas de Orden Deudoras</t>
  </si>
  <si>
    <t>Cuentas por Pagar</t>
  </si>
  <si>
    <t>Anticipos y Avances Recibidos</t>
  </si>
  <si>
    <t>Anticipos De Copropietarios</t>
  </si>
  <si>
    <t>N/A</t>
  </si>
  <si>
    <t>Total Cuentas de Orden Deudoras de Control</t>
  </si>
  <si>
    <t>Ingresos Operacionales</t>
  </si>
  <si>
    <t>Total Ingresos Operacionales</t>
  </si>
  <si>
    <t>Ingresos No Operacionales</t>
  </si>
  <si>
    <t>Otros Ingresos</t>
  </si>
  <si>
    <t>Total Ingresos No Operacionales</t>
  </si>
  <si>
    <t>Gastos Operacionales de Administración</t>
  </si>
  <si>
    <t>Total Gastos Operacionales de Administración</t>
  </si>
  <si>
    <t>Inversiones en Proyectos Especiales</t>
  </si>
  <si>
    <t>Total Gastos Proyectos Especiales</t>
  </si>
  <si>
    <t>EXCEDENTE O DEFICIT NETO</t>
  </si>
  <si>
    <r>
      <t xml:space="preserve">Balance General a 31 de </t>
    </r>
    <r>
      <rPr>
        <sz val="10"/>
        <color indexed="8"/>
        <rFont val="Arial"/>
        <family val="2"/>
      </rPr>
      <t>Diciem</t>
    </r>
    <r>
      <rPr>
        <b/>
        <sz val="10"/>
        <color indexed="8"/>
        <rFont val="Arial"/>
        <family val="2"/>
      </rPr>
      <t>bre de 2013</t>
    </r>
  </si>
  <si>
    <t>Sobregiro bancario - cheques pendientes cobro</t>
  </si>
  <si>
    <t>Excedentes o Deficits Netos del Ejercicio</t>
  </si>
  <si>
    <t xml:space="preserve">Cheques pendientes de cobro </t>
  </si>
  <si>
    <t>SINDICATO COLOMBIANO DE CIRUJANOS PLASTICOS</t>
  </si>
  <si>
    <t>NIT 900.699.46-9</t>
  </si>
  <si>
    <t>Cuotas de Afiliacion</t>
  </si>
  <si>
    <t>Cuotas Ordinarias</t>
  </si>
  <si>
    <t>Gastos Financieros - Chequera - 4*1000</t>
  </si>
  <si>
    <t>Gerente</t>
  </si>
  <si>
    <t>Carolina Jaramillo Cifuentes</t>
  </si>
  <si>
    <t>TP 104132-T</t>
  </si>
  <si>
    <t>NIT 900.699.426-9</t>
  </si>
  <si>
    <t>Gastos Pagados por Anticipado - Arrendamiento</t>
  </si>
  <si>
    <t xml:space="preserve">Depositos Judiciales </t>
  </si>
  <si>
    <t>TP:104132-T</t>
  </si>
  <si>
    <t xml:space="preserve">                   NOTAS A LOS ESTADOS FINANCIEROS</t>
  </si>
  <si>
    <t>Adrada claudia patricia</t>
  </si>
  <si>
    <t>Alfonso jaimes juliana sofia</t>
  </si>
  <si>
    <t>Bohorquez celso</t>
  </si>
  <si>
    <t>Bovea cardenas augusto</t>
  </si>
  <si>
    <t>Carrillo arellano jorge edmundo</t>
  </si>
  <si>
    <t>Castillo fakiolas rosmery</t>
  </si>
  <si>
    <t>Castro esguerra felipe</t>
  </si>
  <si>
    <t>Gallo jimenez nicolas arturo</t>
  </si>
  <si>
    <t>Galvis maldonadp belman</t>
  </si>
  <si>
    <t>Gomez muñoz oscar adolfo</t>
  </si>
  <si>
    <t>Gonzalez tamayo monica</t>
  </si>
  <si>
    <t>Mattos guzman christian</t>
  </si>
  <si>
    <t>Mejia estrada nestor</t>
  </si>
  <si>
    <t>Mera juan jacobo</t>
  </si>
  <si>
    <t>Mosquera ortiz patricia</t>
  </si>
  <si>
    <t>Noguera meneses alvaro</t>
  </si>
  <si>
    <t>Parra gomez adriana</t>
  </si>
  <si>
    <t>Paz matabanchoy harold oswaldo</t>
  </si>
  <si>
    <t>Peña paez ricardo gustavo</t>
  </si>
  <si>
    <t>Ramirez folleco alexander</t>
  </si>
  <si>
    <t>Ramirez rosero abelardo antonio</t>
  </si>
  <si>
    <t>Riascos villegas alfonso</t>
  </si>
  <si>
    <t>Rodriguez velandia hugo felix</t>
  </si>
  <si>
    <t>Salgado roa enrique</t>
  </si>
  <si>
    <t>Yanguas bodensiek david</t>
  </si>
  <si>
    <t>Zambrano burgl juan carlos</t>
  </si>
  <si>
    <t>Zapata saldarriaga jaime alberto</t>
  </si>
  <si>
    <t>Garcia gomez viviana</t>
  </si>
  <si>
    <t>Garcia vanegas tatiana</t>
  </si>
  <si>
    <t>Paredes jimenez alfredo</t>
  </si>
  <si>
    <t>Prada garay nicolas</t>
  </si>
  <si>
    <t>Torres erazo alvaro</t>
  </si>
  <si>
    <t>Fiscal</t>
  </si>
  <si>
    <t>De Afiliados - ingresos para terceros</t>
  </si>
  <si>
    <t>Roca baute jairo</t>
  </si>
  <si>
    <t>Notariales</t>
  </si>
  <si>
    <t>Diversos - Gastos Representacion</t>
  </si>
  <si>
    <t>Diversos - Elementos aseo y cafeteria</t>
  </si>
  <si>
    <t>Diversos - Papeleria y Fotocopias</t>
  </si>
  <si>
    <t>Diversos - Taxis y Buses</t>
  </si>
  <si>
    <t>Diversos - Muebles Menores - Accesorios</t>
  </si>
  <si>
    <t>Cardona patiño william</t>
  </si>
  <si>
    <t>Martinez correa nelson</t>
  </si>
  <si>
    <t>Medina franco miguel antonio</t>
  </si>
  <si>
    <t>CUOTAS DE AFILIACION 2014</t>
  </si>
  <si>
    <t>CUOTAS ORDINARIAS - CARTERA 2014</t>
  </si>
  <si>
    <t>CUOTAS AFILIACION - AÑO 2015</t>
  </si>
  <si>
    <t>CUOTAS ORDINARIAS - CARTERA 2015</t>
  </si>
  <si>
    <t>Villalobos cardenas harold</t>
  </si>
  <si>
    <t>Diversos - Peajes</t>
  </si>
  <si>
    <t>Utilidades Acumuladas</t>
  </si>
  <si>
    <t>Cuotas de Afiliacion Año 2014</t>
  </si>
  <si>
    <t>Cuotas de Afiliacion Año 2015</t>
  </si>
  <si>
    <t>Cuotas Ordinarias Año 2014</t>
  </si>
  <si>
    <t>Cuotas Ordinarias Año 2015</t>
  </si>
  <si>
    <t>DEL 2015</t>
  </si>
  <si>
    <t>Afiliaciones y sostenimiento</t>
  </si>
  <si>
    <t>Caicedo arana jose antonio</t>
  </si>
  <si>
    <t>Diversos - Parqueadero</t>
  </si>
  <si>
    <t>ANTICIPO DE CLIENTES</t>
  </si>
  <si>
    <t>Diversos - Casino y restaurante</t>
  </si>
  <si>
    <t>Anticipo de impuestos</t>
  </si>
  <si>
    <t>Gomez oscar laureano</t>
  </si>
  <si>
    <t>Gomez valdivieso carlos alberto</t>
  </si>
  <si>
    <t>Henriquez basilio</t>
  </si>
  <si>
    <t>Henriquez boris</t>
  </si>
  <si>
    <t>Juris dario alberto</t>
  </si>
  <si>
    <t>Sierra ruben dario</t>
  </si>
  <si>
    <t>Vergara edgar</t>
  </si>
  <si>
    <t>Gastos de viaje - alojamiento</t>
  </si>
  <si>
    <t>Jacome manosalva nayibel</t>
  </si>
  <si>
    <t>Rubio mydor ivan nemecio</t>
  </si>
  <si>
    <t>Cardenas german</t>
  </si>
  <si>
    <t>Wong yong luis alfonso</t>
  </si>
  <si>
    <t>Vargas sandra liliana</t>
  </si>
  <si>
    <t>Activos Fijos</t>
  </si>
  <si>
    <t>Equipo de computo</t>
  </si>
  <si>
    <t>Diversos - Combustible y Lubricantes</t>
  </si>
  <si>
    <t>Diversos - Ferreteria</t>
  </si>
  <si>
    <t>Anticipo Otros</t>
  </si>
  <si>
    <t>Meneses medina lorena</t>
  </si>
  <si>
    <t>Abba expo diseños</t>
  </si>
  <si>
    <t xml:space="preserve">NOTA No. 1  -  CUENTAS POR COBRAR </t>
  </si>
  <si>
    <t>ANTICIPOS</t>
  </si>
  <si>
    <t>Carrillo maestre  balmiro</t>
  </si>
  <si>
    <t>Gaona silva jennifer</t>
  </si>
  <si>
    <t>Gomez ortega alba viviana</t>
  </si>
  <si>
    <t>Linares cruz natalia</t>
  </si>
  <si>
    <t>Montealegre gomez giovanny</t>
  </si>
  <si>
    <t>Rodriguez rincon claudia catalina</t>
  </si>
  <si>
    <t>Solano gutierrez eduardo</t>
  </si>
  <si>
    <t>Zalamea silva jairo antonio</t>
  </si>
  <si>
    <t>OCTUBRE</t>
  </si>
  <si>
    <t>NOTA No. 1  -  CUENTAS POR PAGAR</t>
  </si>
  <si>
    <t>Arrendamientos</t>
  </si>
  <si>
    <t>Murillo moreno william</t>
  </si>
  <si>
    <t>Nayibel Jacome Manosalva</t>
  </si>
  <si>
    <t>Fondo - Fiducuenta</t>
  </si>
  <si>
    <t>Seguros</t>
  </si>
  <si>
    <t>Aguilera mosquera santiago</t>
  </si>
  <si>
    <t>Maria Isabel Cadena Rios</t>
  </si>
  <si>
    <t>Tesorera</t>
  </si>
  <si>
    <t>Miguel Antonio Medina Franco</t>
  </si>
  <si>
    <t>Miguel antonio Medina Franco</t>
  </si>
  <si>
    <t xml:space="preserve">Recuperaciones </t>
  </si>
  <si>
    <t>Cuotas Ordinarias Año 2016</t>
  </si>
  <si>
    <t>Carolina Mccormick</t>
  </si>
  <si>
    <t>COSTOS Y GASTOS POR PAGAR HONORARIOS</t>
  </si>
  <si>
    <t>Carbonell sarmiento olga cecilia</t>
  </si>
  <si>
    <t>Hidalgo ibarra carmen elvira</t>
  </si>
  <si>
    <t>CUOTAS ORDINARIAS - CARTERA 2016</t>
  </si>
  <si>
    <t>Arias garcia rolando eduardo</t>
  </si>
  <si>
    <t>Cabal diaz maria del pilar</t>
  </si>
  <si>
    <t>Castro jose alfredo</t>
  </si>
  <si>
    <t>Charry quintero oswaldo</t>
  </si>
  <si>
    <t>Dome restrepo pierre didyme</t>
  </si>
  <si>
    <t>Linares cesar mauricio</t>
  </si>
  <si>
    <t>Lopez cardona juan carlos</t>
  </si>
  <si>
    <t>Lopez orozco maria fernanda</t>
  </si>
  <si>
    <t>Luna gomez hugo hernan</t>
  </si>
  <si>
    <t>Mateus gutierrez martha</t>
  </si>
  <si>
    <t>Oliveros mendez luis ernesto</t>
  </si>
  <si>
    <t>Prado yobanka</t>
  </si>
  <si>
    <t>Rios garcia carlos alberto</t>
  </si>
  <si>
    <t>Rodriguez rodriguez alvaro hernan</t>
  </si>
  <si>
    <t>Sevillano manuel</t>
  </si>
  <si>
    <t>Villegas victoria alvaro</t>
  </si>
  <si>
    <t xml:space="preserve">NOTA No. 2  -  SERVICIOS </t>
  </si>
  <si>
    <t>NOTA No. 3  -  CUENTAS DE ORDEN</t>
  </si>
  <si>
    <t>Procesamiento de datos</t>
  </si>
  <si>
    <t>Celular</t>
  </si>
  <si>
    <t>Telefono</t>
  </si>
  <si>
    <t>Internet</t>
  </si>
  <si>
    <t>Energia</t>
  </si>
  <si>
    <t>Beneficencia del Valle</t>
  </si>
  <si>
    <t>Diversos - Seguridad Social secretaria</t>
  </si>
  <si>
    <t>Correo</t>
  </si>
  <si>
    <t>Aportes parafiscales</t>
  </si>
  <si>
    <t>Obligaciones laborales</t>
  </si>
  <si>
    <t>Cuotas de Afiliacion Año 2016</t>
  </si>
  <si>
    <t>Donaciones- polizas</t>
  </si>
  <si>
    <t>Gastos de personal</t>
  </si>
  <si>
    <t>Administracion delegada sociedad</t>
  </si>
  <si>
    <t>Sociedad colombiana de cirujia</t>
  </si>
  <si>
    <t>Cadena rios maria isabel</t>
  </si>
  <si>
    <t>Television - video</t>
  </si>
  <si>
    <t>Galan ricardo</t>
  </si>
  <si>
    <t>Aldana granados absalon</t>
  </si>
  <si>
    <t>CUOTAS AFILIACION - CARTERA 2016</t>
  </si>
  <si>
    <t>Pacheco soler ricardo</t>
  </si>
  <si>
    <t>Aseo y vigilancia</t>
  </si>
  <si>
    <t>Asistencia tecnica</t>
  </si>
  <si>
    <t>Gonzalez sandra milena</t>
  </si>
  <si>
    <t>Valdivieso carlos</t>
  </si>
  <si>
    <t>Balance General a 31 de Diciembre de 2016</t>
  </si>
  <si>
    <t>Acumulado a Diciembre</t>
  </si>
  <si>
    <t xml:space="preserve">Depreciacion </t>
  </si>
  <si>
    <t>Del 01 de Diciembre al 31 de Diciembre  de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</si>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</sst>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\ #,##0_);\(&quot;$&quot;\ #,##0\)"/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#,##0;[Red]#,##0"/>
    <numFmt numFmtId="166" formatCode="_-&quot;$&quot;\ * #,##0_-;\-&quot;$&quot;\ * #,##0_-;_-&quot;$&quot;\ * &quot;-&quot;??_-;_-@_-"/>
    <numFmt numFmtId="167" formatCode="#,##0.00000"/>
    <numFmt numFmtId="168" formatCode="_-&quot;$&quot;\ * #,##0.00000_-;\-&quot;$&quot;\ * #,##0.00000_-;_-&quot;$&quot;\ * &quot;-&quot;??_-;_-@_-"/>
    <numFmt numFmtId="169" formatCode="#,##0.0000000"/>
    <numFmt numFmtId="170" formatCode="#,##0.000000000000"/>
    <numFmt numFmtId="171" formatCode="0.0%"/>
    <numFmt numFmtId="172" formatCode="_ * #,##0_ ;_ * \-#,##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6"/>
      <name val="Arial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3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/>
    <xf numFmtId="4" fontId="4" fillId="0" borderId="0" xfId="0" applyNumberFormat="1" applyFont="1"/>
    <xf numFmtId="3" fontId="4" fillId="0" borderId="0" xfId="0" applyNumberFormat="1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4" fillId="0" borderId="0" xfId="0" applyNumberFormat="1" applyFont="1" applyFill="1" applyBorder="1"/>
    <xf numFmtId="3" fontId="4" fillId="0" borderId="0" xfId="0" applyNumberFormat="1" applyFont="1" applyFill="1" applyAlignment="1">
      <alignment horizontal="right" indent="8"/>
    </xf>
    <xf numFmtId="3" fontId="6" fillId="0" borderId="0" xfId="0" applyNumberFormat="1" applyFont="1" applyFill="1" applyAlignment="1">
      <alignment horizontal="right" indent="8"/>
    </xf>
    <xf numFmtId="0" fontId="8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8" fillId="0" borderId="0" xfId="0" applyNumberFormat="1" applyFont="1"/>
    <xf numFmtId="3" fontId="8" fillId="0" borderId="1" xfId="0" applyNumberFormat="1" applyFont="1" applyBorder="1"/>
    <xf numFmtId="0" fontId="7" fillId="0" borderId="0" xfId="0" applyFont="1" applyAlignment="1">
      <alignment horizontal="right"/>
    </xf>
    <xf numFmtId="3" fontId="8" fillId="0" borderId="0" xfId="0" applyNumberFormat="1" applyFont="1" applyBorder="1"/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3" fontId="7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166" fontId="10" fillId="0" borderId="0" xfId="2" applyNumberFormat="1" applyFont="1"/>
    <xf numFmtId="166" fontId="7" fillId="0" borderId="0" xfId="2" applyNumberFormat="1" applyFont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Border="1"/>
    <xf numFmtId="166" fontId="8" fillId="0" borderId="0" xfId="2" applyNumberFormat="1" applyFont="1" applyBorder="1"/>
    <xf numFmtId="166" fontId="8" fillId="0" borderId="0" xfId="2" applyNumberFormat="1" applyFont="1"/>
    <xf numFmtId="166" fontId="8" fillId="0" borderId="1" xfId="2" applyNumberFormat="1" applyFont="1" applyBorder="1"/>
    <xf numFmtId="166" fontId="7" fillId="0" borderId="2" xfId="2" applyNumberFormat="1" applyFont="1" applyBorder="1"/>
    <xf numFmtId="166" fontId="7" fillId="0" borderId="0" xfId="2" applyNumberFormat="1" applyFont="1" applyAlignment="1">
      <alignment horizontal="center"/>
    </xf>
    <xf numFmtId="3" fontId="1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12" fillId="0" borderId="0" xfId="3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right" vertical="center"/>
    </xf>
    <xf numFmtId="10" fontId="12" fillId="0" borderId="0" xfId="4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3" fontId="12" fillId="0" borderId="0" xfId="3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3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10" fontId="12" fillId="0" borderId="0" xfId="4" applyNumberFormat="1" applyFont="1" applyFill="1" applyAlignment="1">
      <alignment horizontal="right" vertical="center"/>
    </xf>
    <xf numFmtId="3" fontId="5" fillId="0" borderId="0" xfId="3" applyNumberFormat="1" applyFont="1" applyFill="1" applyAlignment="1">
      <alignment horizontal="right" vertical="center"/>
    </xf>
    <xf numFmtId="10" fontId="5" fillId="0" borderId="0" xfId="4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8" fillId="0" borderId="0" xfId="0" applyFont="1" applyBorder="1"/>
    <xf numFmtId="166" fontId="11" fillId="0" borderId="0" xfId="2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5" fillId="0" borderId="0" xfId="0" applyFont="1" applyFill="1" applyBorder="1"/>
    <xf numFmtId="3" fontId="14" fillId="0" borderId="3" xfId="0" applyNumberFormat="1" applyFont="1" applyBorder="1"/>
    <xf numFmtId="3" fontId="7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5" fontId="6" fillId="0" borderId="1" xfId="1" applyNumberFormat="1" applyFont="1" applyBorder="1"/>
    <xf numFmtId="4" fontId="2" fillId="0" borderId="0" xfId="0" applyNumberFormat="1" applyFont="1" applyFill="1"/>
    <xf numFmtId="4" fontId="4" fillId="0" borderId="0" xfId="0" applyNumberFormat="1" applyFont="1" applyFill="1"/>
    <xf numFmtId="4" fontId="5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37" fontId="15" fillId="0" borderId="0" xfId="0" applyNumberFormat="1" applyFont="1" applyFill="1" applyBorder="1" applyAlignment="1">
      <alignment horizontal="center" vertical="center"/>
    </xf>
    <xf numFmtId="10" fontId="15" fillId="0" borderId="0" xfId="4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0" fontId="13" fillId="0" borderId="0" xfId="0" applyFont="1" applyAlignment="1"/>
    <xf numFmtId="0" fontId="16" fillId="0" borderId="0" xfId="0" applyFont="1" applyFill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/>
    <xf numFmtId="3" fontId="13" fillId="0" borderId="5" xfId="0" applyNumberFormat="1" applyFont="1" applyBorder="1" applyAlignment="1"/>
    <xf numFmtId="3" fontId="13" fillId="0" borderId="3" xfId="0" applyNumberFormat="1" applyFont="1" applyBorder="1" applyAlignment="1"/>
    <xf numFmtId="3" fontId="14" fillId="0" borderId="3" xfId="0" applyNumberFormat="1" applyFont="1" applyBorder="1" applyAlignment="1"/>
    <xf numFmtId="0" fontId="14" fillId="0" borderId="4" xfId="0" applyFont="1" applyBorder="1" applyAlignment="1"/>
    <xf numFmtId="0" fontId="14" fillId="0" borderId="7" xfId="0" applyFont="1" applyBorder="1" applyAlignment="1"/>
    <xf numFmtId="3" fontId="13" fillId="0" borderId="0" xfId="0" applyNumberFormat="1" applyFont="1" applyAlignment="1"/>
    <xf numFmtId="0" fontId="14" fillId="0" borderId="0" xfId="0" applyFont="1" applyAlignment="1"/>
    <xf numFmtId="0" fontId="13" fillId="0" borderId="0" xfId="0" applyFont="1" applyAlignment="1">
      <alignment horizontal="right"/>
    </xf>
    <xf numFmtId="3" fontId="18" fillId="0" borderId="0" xfId="0" applyNumberFormat="1" applyFont="1" applyAlignment="1"/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3" fillId="0" borderId="3" xfId="0" applyFont="1" applyBorder="1" applyAlignment="1"/>
    <xf numFmtId="3" fontId="20" fillId="0" borderId="0" xfId="3" applyNumberFormat="1" applyFont="1" applyFill="1" applyAlignment="1">
      <alignment vertical="center"/>
    </xf>
    <xf numFmtId="10" fontId="20" fillId="0" borderId="0" xfId="4" applyNumberFormat="1" applyFont="1" applyFill="1" applyAlignment="1">
      <alignment vertic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/>
    <xf numFmtId="3" fontId="14" fillId="0" borderId="0" xfId="0" applyNumberFormat="1" applyFont="1" applyBorder="1"/>
    <xf numFmtId="0" fontId="13" fillId="0" borderId="0" xfId="0" applyNumberFormat="1" applyFont="1" applyAlignment="1"/>
    <xf numFmtId="0" fontId="18" fillId="0" borderId="0" xfId="0" applyNumberFormat="1" applyFont="1" applyAlignment="1"/>
    <xf numFmtId="0" fontId="14" fillId="0" borderId="0" xfId="0" applyNumberFormat="1" applyFont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17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/>
    <xf numFmtId="3" fontId="13" fillId="0" borderId="5" xfId="0" applyNumberFormat="1" applyFont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/>
    <xf numFmtId="167" fontId="12" fillId="0" borderId="0" xfId="3" applyNumberFormat="1" applyFont="1" applyFill="1" applyAlignment="1">
      <alignment vertical="center"/>
    </xf>
    <xf numFmtId="0" fontId="13" fillId="0" borderId="3" xfId="0" applyFont="1" applyBorder="1"/>
    <xf numFmtId="166" fontId="8" fillId="0" borderId="0" xfId="0" applyNumberFormat="1" applyFont="1"/>
    <xf numFmtId="3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3" fontId="8" fillId="0" borderId="0" xfId="2" applyNumberFormat="1" applyFont="1" applyFill="1"/>
    <xf numFmtId="168" fontId="8" fillId="0" borderId="0" xfId="2" applyNumberFormat="1" applyFont="1"/>
    <xf numFmtId="3" fontId="7" fillId="0" borderId="8" xfId="0" applyNumberFormat="1" applyFont="1" applyBorder="1"/>
    <xf numFmtId="4" fontId="6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169" fontId="12" fillId="0" borderId="0" xfId="0" applyNumberFormat="1" applyFont="1" applyFill="1" applyAlignment="1">
      <alignment vertical="center"/>
    </xf>
    <xf numFmtId="3" fontId="5" fillId="0" borderId="0" xfId="3" applyNumberFormat="1" applyFont="1" applyFill="1" applyBorder="1" applyAlignment="1">
      <alignment horizontal="right" vertical="center"/>
    </xf>
    <xf numFmtId="10" fontId="5" fillId="0" borderId="0" xfId="4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horizontal="right" vertical="center"/>
    </xf>
    <xf numFmtId="10" fontId="12" fillId="0" borderId="0" xfId="4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3" fillId="0" borderId="0" xfId="3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left" vertical="center"/>
    </xf>
    <xf numFmtId="3" fontId="12" fillId="0" borderId="0" xfId="3" applyNumberFormat="1" applyFont="1" applyFill="1" applyBorder="1" applyAlignment="1">
      <alignment vertical="center"/>
    </xf>
    <xf numFmtId="4" fontId="0" fillId="0" borderId="0" xfId="0" applyNumberFormat="1"/>
    <xf numFmtId="170" fontId="6" fillId="0" borderId="0" xfId="0" applyNumberFormat="1" applyFont="1" applyFill="1"/>
    <xf numFmtId="15" fontId="13" fillId="0" borderId="3" xfId="0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8" xfId="2" applyNumberFormat="1" applyFont="1" applyBorder="1"/>
    <xf numFmtId="166" fontId="8" fillId="0" borderId="8" xfId="2" applyNumberFormat="1" applyFont="1" applyBorder="1"/>
    <xf numFmtId="0" fontId="9" fillId="0" borderId="0" xfId="0" applyFont="1" applyAlignment="1"/>
    <xf numFmtId="9" fontId="9" fillId="0" borderId="0" xfId="4" applyFont="1" applyAlignment="1"/>
    <xf numFmtId="9" fontId="10" fillId="0" borderId="0" xfId="4" applyFont="1"/>
    <xf numFmtId="9" fontId="7" fillId="0" borderId="0" xfId="4" applyFont="1" applyAlignment="1">
      <alignment horizontal="center"/>
    </xf>
    <xf numFmtId="9" fontId="7" fillId="0" borderId="0" xfId="4" applyFont="1" applyBorder="1" applyAlignment="1">
      <alignment horizontal="center"/>
    </xf>
    <xf numFmtId="9" fontId="7" fillId="0" borderId="0" xfId="4" applyFont="1"/>
    <xf numFmtId="10" fontId="8" fillId="0" borderId="0" xfId="4" applyNumberFormat="1" applyFont="1"/>
    <xf numFmtId="10" fontId="8" fillId="0" borderId="0" xfId="0" applyNumberFormat="1" applyFont="1"/>
    <xf numFmtId="10" fontId="7" fillId="0" borderId="0" xfId="4" applyNumberFormat="1" applyFont="1" applyBorder="1"/>
    <xf numFmtId="10" fontId="7" fillId="0" borderId="0" xfId="0" applyNumberFormat="1" applyFont="1"/>
    <xf numFmtId="10" fontId="8" fillId="0" borderId="0" xfId="4" applyNumberFormat="1" applyFont="1" applyBorder="1"/>
    <xf numFmtId="166" fontId="7" fillId="0" borderId="1" xfId="2" applyNumberFormat="1" applyFont="1" applyBorder="1"/>
    <xf numFmtId="10" fontId="7" fillId="0" borderId="1" xfId="4" applyNumberFormat="1" applyFont="1" applyBorder="1"/>
    <xf numFmtId="10" fontId="7" fillId="0" borderId="0" xfId="4" applyNumberFormat="1" applyFont="1"/>
    <xf numFmtId="10" fontId="8" fillId="0" borderId="1" xfId="4" applyNumberFormat="1" applyFont="1" applyBorder="1"/>
    <xf numFmtId="10" fontId="7" fillId="0" borderId="2" xfId="4" applyNumberFormat="1" applyFont="1" applyBorder="1"/>
    <xf numFmtId="9" fontId="7" fillId="0" borderId="0" xfId="4" applyFont="1" applyBorder="1"/>
    <xf numFmtId="171" fontId="8" fillId="0" borderId="0" xfId="4" applyNumberFormat="1" applyFont="1" applyBorder="1"/>
    <xf numFmtId="171" fontId="8" fillId="0" borderId="1" xfId="4" applyNumberFormat="1" applyFont="1" applyBorder="1"/>
    <xf numFmtId="9" fontId="8" fillId="0" borderId="0" xfId="4" applyFont="1"/>
    <xf numFmtId="10" fontId="8" fillId="0" borderId="0" xfId="0" applyNumberFormat="1" applyFont="1" applyAlignment="1">
      <alignment horizontal="right"/>
    </xf>
    <xf numFmtId="9" fontId="8" fillId="0" borderId="0" xfId="4" applyFont="1" applyBorder="1"/>
    <xf numFmtId="10" fontId="7" fillId="0" borderId="0" xfId="0" applyNumberFormat="1" applyFont="1" applyAlignment="1">
      <alignment horizontal="center"/>
    </xf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10" fontId="8" fillId="0" borderId="0" xfId="0" applyNumberFormat="1" applyFont="1" applyBorder="1"/>
    <xf numFmtId="0" fontId="8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66" fontId="8" fillId="0" borderId="1" xfId="0" applyNumberFormat="1" applyFont="1" applyBorder="1"/>
    <xf numFmtId="166" fontId="7" fillId="0" borderId="0" xfId="0" applyNumberFormat="1" applyFont="1" applyBorder="1"/>
    <xf numFmtId="171" fontId="7" fillId="0" borderId="0" xfId="4" applyNumberFormat="1" applyFont="1" applyBorder="1"/>
    <xf numFmtId="166" fontId="7" fillId="0" borderId="0" xfId="0" applyNumberFormat="1" applyFont="1"/>
    <xf numFmtId="171" fontId="7" fillId="0" borderId="0" xfId="4" applyNumberFormat="1" applyFont="1"/>
    <xf numFmtId="171" fontId="8" fillId="0" borderId="0" xfId="4" applyNumberFormat="1" applyFont="1"/>
    <xf numFmtId="166" fontId="8" fillId="0" borderId="0" xfId="0" applyNumberFormat="1" applyFont="1" applyBorder="1"/>
    <xf numFmtId="0" fontId="7" fillId="0" borderId="0" xfId="0" applyFont="1" applyBorder="1" applyAlignment="1">
      <alignment horizontal="right"/>
    </xf>
    <xf numFmtId="10" fontId="7" fillId="0" borderId="8" xfId="4" applyNumberFormat="1" applyFont="1" applyBorder="1"/>
    <xf numFmtId="166" fontId="7" fillId="0" borderId="8" xfId="0" applyNumberFormat="1" applyFont="1" applyBorder="1"/>
    <xf numFmtId="171" fontId="7" fillId="0" borderId="8" xfId="4" applyNumberFormat="1" applyFont="1" applyBorder="1"/>
    <xf numFmtId="166" fontId="7" fillId="0" borderId="1" xfId="0" applyNumberFormat="1" applyFont="1" applyBorder="1"/>
    <xf numFmtId="171" fontId="7" fillId="0" borderId="1" xfId="4" applyNumberFormat="1" applyFont="1" applyBorder="1"/>
    <xf numFmtId="10" fontId="8" fillId="0" borderId="0" xfId="0" applyNumberFormat="1" applyFont="1" applyAlignment="1">
      <alignment horizontal="center"/>
    </xf>
    <xf numFmtId="4" fontId="7" fillId="0" borderId="1" xfId="0" applyNumberFormat="1" applyFont="1" applyBorder="1"/>
    <xf numFmtId="166" fontId="8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Fill="1" applyAlignment="1"/>
    <xf numFmtId="0" fontId="28" fillId="0" borderId="0" xfId="0" applyFont="1" applyFill="1" applyAlignment="1"/>
    <xf numFmtId="0" fontId="29" fillId="0" borderId="0" xfId="0" applyFont="1" applyFill="1" applyAlignment="1"/>
    <xf numFmtId="0" fontId="30" fillId="0" borderId="0" xfId="0" applyFont="1" applyFill="1" applyAlignment="1"/>
    <xf numFmtId="0" fontId="31" fillId="0" borderId="0" xfId="0" applyFont="1" applyFill="1" applyAlignment="1"/>
    <xf numFmtId="17" fontId="28" fillId="0" borderId="0" xfId="0" applyNumberFormat="1" applyFont="1" applyFill="1" applyAlignment="1">
      <alignment horizontal="center"/>
    </xf>
    <xf numFmtId="0" fontId="32" fillId="0" borderId="0" xfId="0" applyFont="1" applyFill="1" applyAlignment="1"/>
    <xf numFmtId="0" fontId="33" fillId="0" borderId="0" xfId="0" applyFont="1" applyFill="1" applyAlignment="1"/>
    <xf numFmtId="0" fontId="34" fillId="0" borderId="0" xfId="0" applyFont="1" applyFill="1" applyAlignment="1">
      <alignment horizontal="center"/>
    </xf>
    <xf numFmtId="172" fontId="35" fillId="0" borderId="0" xfId="1" applyNumberFormat="1" applyFont="1" applyFill="1" applyAlignment="1"/>
    <xf numFmtId="172" fontId="35" fillId="0" borderId="0" xfId="1" applyNumberFormat="1" applyFont="1" applyFill="1" applyBorder="1" applyAlignment="1"/>
    <xf numFmtId="172" fontId="28" fillId="0" borderId="0" xfId="1" applyNumberFormat="1" applyFont="1" applyFill="1" applyBorder="1" applyAlignment="1"/>
    <xf numFmtId="0" fontId="0" fillId="0" borderId="0" xfId="0" applyFont="1"/>
    <xf numFmtId="3" fontId="28" fillId="0" borderId="0" xfId="0" applyNumberFormat="1" applyFont="1" applyFill="1" applyAlignment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5" fillId="0" borderId="0" xfId="1" applyNumberFormat="1" applyFont="1" applyFill="1" applyAlignment="1"/>
    <xf numFmtId="3" fontId="35" fillId="0" borderId="9" xfId="1" applyNumberFormat="1" applyFont="1" applyFill="1" applyBorder="1" applyAlignment="1"/>
    <xf numFmtId="3" fontId="28" fillId="0" borderId="10" xfId="1" applyNumberFormat="1" applyFont="1" applyFill="1" applyBorder="1" applyAlignment="1"/>
    <xf numFmtId="3" fontId="28" fillId="0" borderId="0" xfId="1" applyNumberFormat="1" applyFont="1" applyFill="1" applyBorder="1" applyAlignment="1"/>
    <xf numFmtId="3" fontId="36" fillId="0" borderId="0" xfId="0" applyNumberFormat="1" applyFont="1"/>
    <xf numFmtId="3" fontId="0" fillId="0" borderId="0" xfId="0" applyNumberFormat="1"/>
    <xf numFmtId="3" fontId="28" fillId="0" borderId="11" xfId="1" applyNumberFormat="1" applyFont="1" applyFill="1" applyBorder="1" applyAlignment="1"/>
    <xf numFmtId="3" fontId="35" fillId="0" borderId="0" xfId="1" applyNumberFormat="1" applyFont="1" applyFill="1" applyBorder="1" applyAlignment="1"/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24" fillId="0" borderId="0" xfId="0" applyFont="1" applyAlignment="1"/>
    <xf numFmtId="0" fontId="0" fillId="0" borderId="0" xfId="0" applyFill="1"/>
    <xf numFmtId="3" fontId="36" fillId="0" borderId="0" xfId="0" applyNumberFormat="1" applyFont="1" applyFill="1"/>
    <xf numFmtId="4" fontId="8" fillId="0" borderId="1" xfId="0" applyNumberFormat="1" applyFont="1" applyBorder="1"/>
    <xf numFmtId="166" fontId="7" fillId="0" borderId="12" xfId="2" applyNumberFormat="1" applyFont="1" applyBorder="1"/>
    <xf numFmtId="0" fontId="36" fillId="0" borderId="0" xfId="0" applyFont="1"/>
    <xf numFmtId="0" fontId="35" fillId="0" borderId="0" xfId="0" applyFont="1" applyFill="1" applyAlignment="1"/>
    <xf numFmtId="3" fontId="7" fillId="0" borderId="0" xfId="0" applyNumberFormat="1" applyFont="1" applyBorder="1" applyAlignment="1">
      <alignment horizontal="center"/>
    </xf>
    <xf numFmtId="0" fontId="24" fillId="0" borderId="0" xfId="0" applyFont="1" applyFill="1"/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6" fontId="7" fillId="0" borderId="0" xfId="2" applyNumberFormat="1" applyFont="1"/>
    <xf numFmtId="3" fontId="8" fillId="0" borderId="0" xfId="0" applyNumberFormat="1" applyFont="1" applyFill="1"/>
    <xf numFmtId="166" fontId="8" fillId="0" borderId="0" xfId="2" applyNumberFormat="1" applyFont="1" applyFill="1" applyBorder="1"/>
    <xf numFmtId="3" fontId="7" fillId="0" borderId="0" xfId="0" applyNumberFormat="1" applyFont="1" applyBorder="1" applyAlignment="1">
      <alignment horizontal="center"/>
    </xf>
    <xf numFmtId="3" fontId="36" fillId="0" borderId="1" xfId="0" applyNumberFormat="1" applyFont="1" applyBorder="1"/>
    <xf numFmtId="3" fontId="41" fillId="0" borderId="2" xfId="0" applyNumberFormat="1" applyFont="1" applyBorder="1"/>
    <xf numFmtId="166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7" fillId="0" borderId="0" xfId="2" applyNumberFormat="1" applyFont="1" applyBorder="1" applyAlignment="1">
      <alignment horizontal="center"/>
    </xf>
    <xf numFmtId="166" fontId="7" fillId="0" borderId="0" xfId="2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5" fontId="13" fillId="0" borderId="4" xfId="0" applyNumberFormat="1" applyFont="1" applyBorder="1" applyAlignment="1">
      <alignment horizontal="center"/>
    </xf>
    <xf numFmtId="15" fontId="13" fillId="0" borderId="5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7" xfId="0" applyBorder="1"/>
    <xf numFmtId="0" fontId="0" fillId="0" borderId="5" xfId="0" applyBorder="1"/>
  </cellXfs>
  <cellStyles count="5">
    <cellStyle name="Millares" xfId="1" builtinId="3"/>
    <cellStyle name="Moneda" xfId="2" builtinId="4"/>
    <cellStyle name="Moneda_BALANCE_DICIEMBRE_2010_LOMAS_DE_JUANAMBU(1)" xfId="3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workbookViewId="0">
      <selection activeCell="C49" sqref="C49"/>
    </sheetView>
  </sheetViews>
  <sheetFormatPr baseColWidth="10" defaultColWidth="11.42578125" defaultRowHeight="12" x14ac:dyDescent="0.2"/>
  <cols>
    <col min="1" max="2" width="16" style="21" customWidth="1"/>
    <col min="3" max="4" width="15.5703125" style="46" customWidth="1"/>
    <col min="5" max="5" width="2" style="21" customWidth="1"/>
    <col min="6" max="6" width="16" style="25" customWidth="1"/>
    <col min="7" max="7" width="18.140625" style="25" customWidth="1"/>
    <col min="8" max="9" width="15.5703125" style="46" customWidth="1"/>
    <col min="10" max="10" width="14.7109375" style="21" customWidth="1"/>
    <col min="11" max="11" width="11.42578125" style="21"/>
    <col min="12" max="12" width="12.28515625" style="21" bestFit="1" customWidth="1"/>
    <col min="13" max="16384" width="11.42578125" style="21"/>
  </cols>
  <sheetData>
    <row r="1" spans="1:9" s="39" customFormat="1" ht="12.75" x14ac:dyDescent="0.2">
      <c r="A1" s="282" t="s">
        <v>368</v>
      </c>
      <c r="B1" s="282"/>
      <c r="C1" s="282"/>
      <c r="D1" s="282"/>
      <c r="E1" s="282"/>
      <c r="F1" s="282"/>
      <c r="G1" s="282"/>
      <c r="H1" s="282"/>
      <c r="I1" s="282"/>
    </row>
    <row r="2" spans="1:9" s="39" customFormat="1" ht="12.75" x14ac:dyDescent="0.2">
      <c r="A2" s="282" t="s">
        <v>376</v>
      </c>
      <c r="B2" s="282"/>
      <c r="C2" s="282"/>
      <c r="D2" s="282"/>
      <c r="E2" s="282"/>
      <c r="F2" s="282"/>
      <c r="G2" s="282"/>
      <c r="H2" s="282"/>
      <c r="I2" s="282"/>
    </row>
    <row r="3" spans="1:9" s="39" customFormat="1" ht="12.75" x14ac:dyDescent="0.2">
      <c r="A3" s="282" t="s">
        <v>535</v>
      </c>
      <c r="B3" s="282"/>
      <c r="C3" s="282"/>
      <c r="D3" s="282"/>
      <c r="E3" s="282"/>
      <c r="F3" s="282"/>
      <c r="G3" s="282"/>
      <c r="H3" s="282"/>
      <c r="I3" s="282"/>
    </row>
    <row r="4" spans="1:9" s="39" customFormat="1" ht="12.75" x14ac:dyDescent="0.2">
      <c r="A4" s="282"/>
      <c r="B4" s="282"/>
      <c r="C4" s="282"/>
      <c r="D4" s="282"/>
      <c r="E4" s="282"/>
      <c r="F4" s="282"/>
      <c r="G4" s="282"/>
      <c r="H4" s="282"/>
      <c r="I4" s="282"/>
    </row>
    <row r="5" spans="1:9" s="39" customFormat="1" ht="12.75" x14ac:dyDescent="0.2">
      <c r="C5" s="41"/>
      <c r="D5" s="41"/>
      <c r="F5" s="40"/>
      <c r="G5" s="40"/>
      <c r="H5" s="41"/>
      <c r="I5" s="41"/>
    </row>
    <row r="6" spans="1:9" s="78" customFormat="1" ht="11.25" x14ac:dyDescent="0.2">
      <c r="A6" s="281" t="s">
        <v>1</v>
      </c>
      <c r="B6" s="281"/>
      <c r="C6" s="77" t="s">
        <v>2</v>
      </c>
      <c r="D6" s="77" t="s">
        <v>3</v>
      </c>
      <c r="F6" s="281" t="s">
        <v>1</v>
      </c>
      <c r="G6" s="281"/>
      <c r="H6" s="77" t="s">
        <v>2</v>
      </c>
      <c r="I6" s="77" t="s">
        <v>3</v>
      </c>
    </row>
    <row r="7" spans="1:9" s="22" customFormat="1" x14ac:dyDescent="0.2">
      <c r="A7" s="23"/>
      <c r="B7" s="23"/>
      <c r="C7" s="42"/>
      <c r="D7" s="42"/>
      <c r="F7" s="25"/>
      <c r="G7" s="25"/>
      <c r="H7" s="49"/>
      <c r="I7" s="49"/>
    </row>
    <row r="8" spans="1:9" s="27" customFormat="1" x14ac:dyDescent="0.2">
      <c r="A8" s="27" t="s">
        <v>4</v>
      </c>
      <c r="C8" s="43"/>
      <c r="D8" s="43"/>
      <c r="F8" s="27" t="s">
        <v>5</v>
      </c>
      <c r="H8" s="43"/>
      <c r="I8" s="43"/>
    </row>
    <row r="9" spans="1:9" s="27" customFormat="1" x14ac:dyDescent="0.2">
      <c r="A9" s="27" t="s">
        <v>6</v>
      </c>
      <c r="C9" s="43"/>
      <c r="D9" s="43"/>
      <c r="F9" s="27" t="s">
        <v>7</v>
      </c>
    </row>
    <row r="10" spans="1:9" x14ac:dyDescent="0.2">
      <c r="A10" s="27" t="s">
        <v>8</v>
      </c>
      <c r="B10" s="27"/>
      <c r="C10" s="44"/>
      <c r="D10" s="266">
        <f>SUM(C11:C13)</f>
        <v>16409600</v>
      </c>
      <c r="F10" s="25" t="s">
        <v>365</v>
      </c>
      <c r="G10" s="27"/>
      <c r="H10" s="46">
        <v>0</v>
      </c>
      <c r="I10" s="43"/>
    </row>
    <row r="11" spans="1:9" s="25" customFormat="1" x14ac:dyDescent="0.2">
      <c r="A11" s="21" t="s">
        <v>196</v>
      </c>
      <c r="B11" s="21"/>
      <c r="C11" s="45">
        <v>3002</v>
      </c>
      <c r="D11" s="46"/>
      <c r="F11" s="21" t="s">
        <v>9</v>
      </c>
      <c r="G11" s="21"/>
      <c r="H11" s="45">
        <v>0</v>
      </c>
      <c r="I11" s="43"/>
    </row>
    <row r="12" spans="1:9" x14ac:dyDescent="0.2">
      <c r="A12" s="21" t="s">
        <v>197</v>
      </c>
      <c r="C12" s="46">
        <v>600000</v>
      </c>
      <c r="F12" s="21" t="s">
        <v>10</v>
      </c>
      <c r="G12" s="21"/>
      <c r="H12" s="45">
        <f>148800+76800</f>
        <v>225600</v>
      </c>
    </row>
    <row r="13" spans="1:9" x14ac:dyDescent="0.2">
      <c r="A13" s="21" t="s">
        <v>11</v>
      </c>
      <c r="C13" s="46">
        <v>15806598</v>
      </c>
      <c r="F13" s="25" t="s">
        <v>12</v>
      </c>
      <c r="H13" s="46">
        <v>0</v>
      </c>
    </row>
    <row r="14" spans="1:9" x14ac:dyDescent="0.2">
      <c r="F14" s="21" t="s">
        <v>518</v>
      </c>
      <c r="H14" s="46">
        <f>164302+119500</f>
        <v>283802</v>
      </c>
    </row>
    <row r="15" spans="1:9" x14ac:dyDescent="0.2">
      <c r="A15" s="27" t="s">
        <v>13</v>
      </c>
      <c r="C15" s="178"/>
      <c r="D15" s="43">
        <f>SUM(C16:C17)</f>
        <v>48704050</v>
      </c>
      <c r="F15" s="21" t="s">
        <v>519</v>
      </c>
      <c r="G15" s="21"/>
      <c r="H15" s="47">
        <v>1508842</v>
      </c>
    </row>
    <row r="16" spans="1:9" x14ac:dyDescent="0.2">
      <c r="A16" s="21" t="s">
        <v>14</v>
      </c>
      <c r="C16" s="45">
        <v>0</v>
      </c>
      <c r="F16" s="21"/>
      <c r="G16" s="31" t="s">
        <v>15</v>
      </c>
      <c r="H16" s="45"/>
      <c r="I16" s="43">
        <f>SUM(H10:H15)</f>
        <v>2018244</v>
      </c>
    </row>
    <row r="17" spans="1:9" s="27" customFormat="1" x14ac:dyDescent="0.2">
      <c r="A17" s="21" t="s">
        <v>478</v>
      </c>
      <c r="B17" s="21"/>
      <c r="C17" s="45">
        <v>48704050</v>
      </c>
      <c r="D17" s="46"/>
      <c r="F17" s="25"/>
      <c r="G17" s="25"/>
      <c r="H17" s="46"/>
      <c r="I17" s="46"/>
    </row>
    <row r="18" spans="1:9" s="25" customFormat="1" x14ac:dyDescent="0.2">
      <c r="A18" s="27" t="s">
        <v>16</v>
      </c>
      <c r="B18" s="27"/>
      <c r="C18" s="177"/>
      <c r="D18" s="43">
        <f>SUM(C19:C21)</f>
        <v>3677629</v>
      </c>
      <c r="F18" s="27" t="s">
        <v>17</v>
      </c>
      <c r="G18" s="21"/>
      <c r="H18" s="45"/>
      <c r="I18" s="46"/>
    </row>
    <row r="19" spans="1:9" x14ac:dyDescent="0.2">
      <c r="A19" s="21" t="s">
        <v>460</v>
      </c>
      <c r="C19" s="268">
        <f>2940000+100000</f>
        <v>3040000</v>
      </c>
      <c r="F19" s="27" t="s">
        <v>295</v>
      </c>
      <c r="G19" s="21"/>
      <c r="H19" s="45"/>
    </row>
    <row r="20" spans="1:9" s="25" customFormat="1" ht="12.75" customHeight="1" x14ac:dyDescent="0.2">
      <c r="A20" s="21" t="s">
        <v>442</v>
      </c>
      <c r="B20" s="21"/>
      <c r="C20" s="47">
        <v>637629</v>
      </c>
      <c r="D20" s="46"/>
      <c r="F20" s="21" t="s">
        <v>414</v>
      </c>
      <c r="G20" s="21"/>
      <c r="H20" s="47">
        <v>166948</v>
      </c>
      <c r="I20" s="45"/>
    </row>
    <row r="21" spans="1:9" s="27" customFormat="1" hidden="1" x14ac:dyDescent="0.2">
      <c r="A21" s="21" t="s">
        <v>265</v>
      </c>
      <c r="B21" s="21"/>
      <c r="C21" s="47">
        <v>0</v>
      </c>
      <c r="D21" s="45"/>
      <c r="F21" s="25" t="s">
        <v>378</v>
      </c>
      <c r="G21" s="25"/>
      <c r="H21" s="47">
        <v>0</v>
      </c>
      <c r="I21" s="25"/>
    </row>
    <row r="22" spans="1:9" s="25" customFormat="1" x14ac:dyDescent="0.2">
      <c r="B22" s="31" t="s">
        <v>20</v>
      </c>
      <c r="C22" s="44"/>
      <c r="D22" s="177">
        <f>SUM(D10:D20)</f>
        <v>68791279</v>
      </c>
      <c r="F22" s="21"/>
      <c r="G22" s="31" t="s">
        <v>18</v>
      </c>
      <c r="H22" s="45"/>
      <c r="I22" s="43">
        <f>SUM(H20:H21)</f>
        <v>166948</v>
      </c>
    </row>
    <row r="23" spans="1:9" s="25" customFormat="1" ht="12.75" thickBot="1" x14ac:dyDescent="0.25">
      <c r="F23" s="21"/>
      <c r="G23" s="31" t="s">
        <v>19</v>
      </c>
      <c r="H23" s="45"/>
      <c r="I23" s="48">
        <f>I16+I22</f>
        <v>2185192</v>
      </c>
    </row>
    <row r="24" spans="1:9" s="25" customFormat="1" ht="12.75" thickTop="1" x14ac:dyDescent="0.2">
      <c r="A24" s="27" t="s">
        <v>21</v>
      </c>
      <c r="B24" s="27"/>
      <c r="C24" s="44"/>
      <c r="D24" s="43"/>
      <c r="F24" s="27" t="s">
        <v>22</v>
      </c>
      <c r="G24" s="27"/>
      <c r="H24" s="44"/>
      <c r="I24" s="43"/>
    </row>
    <row r="25" spans="1:9" s="25" customFormat="1" x14ac:dyDescent="0.2">
      <c r="A25" s="27" t="s">
        <v>23</v>
      </c>
      <c r="B25" s="21"/>
      <c r="C25" s="45"/>
      <c r="D25" s="46"/>
      <c r="F25" s="21" t="s">
        <v>24</v>
      </c>
      <c r="G25" s="21"/>
      <c r="H25" s="45">
        <v>0</v>
      </c>
      <c r="I25" s="46"/>
    </row>
    <row r="26" spans="1:9" s="33" customFormat="1" x14ac:dyDescent="0.2">
      <c r="A26" s="21" t="s">
        <v>377</v>
      </c>
      <c r="B26" s="21"/>
      <c r="C26" s="47">
        <v>0</v>
      </c>
      <c r="D26" s="46"/>
      <c r="F26" s="25" t="s">
        <v>431</v>
      </c>
      <c r="G26" s="25"/>
      <c r="H26" s="45">
        <v>65476069</v>
      </c>
      <c r="I26" s="25"/>
    </row>
    <row r="27" spans="1:9" s="33" customFormat="1" x14ac:dyDescent="0.2">
      <c r="A27" s="21"/>
      <c r="B27" s="21"/>
      <c r="C27" s="45"/>
      <c r="D27" s="46"/>
      <c r="F27" s="25" t="s">
        <v>154</v>
      </c>
      <c r="G27" s="25"/>
      <c r="H27" s="45">
        <v>0</v>
      </c>
      <c r="I27" s="25"/>
    </row>
    <row r="28" spans="1:9" s="33" customFormat="1" x14ac:dyDescent="0.2">
      <c r="A28" s="27" t="s">
        <v>456</v>
      </c>
      <c r="B28" s="21"/>
      <c r="C28" s="45"/>
      <c r="D28" s="46"/>
      <c r="F28" s="25" t="s">
        <v>341</v>
      </c>
      <c r="G28" s="25"/>
      <c r="H28" s="45">
        <f>'ER DICIEMBRE 2016'!F68</f>
        <v>7062658</v>
      </c>
      <c r="I28" s="25"/>
    </row>
    <row r="29" spans="1:9" s="25" customFormat="1" x14ac:dyDescent="0.2">
      <c r="A29" s="25" t="s">
        <v>457</v>
      </c>
      <c r="B29" s="21"/>
      <c r="C29" s="86">
        <v>5932640</v>
      </c>
      <c r="D29" s="45"/>
      <c r="H29" s="257"/>
      <c r="I29" s="221"/>
    </row>
    <row r="30" spans="1:9" s="25" customFormat="1" ht="12.75" thickBot="1" x14ac:dyDescent="0.25">
      <c r="A30" s="33"/>
      <c r="B30" s="34" t="s">
        <v>25</v>
      </c>
      <c r="C30" s="44"/>
      <c r="D30" s="177">
        <f>SUM(C26:C29)</f>
        <v>5932640</v>
      </c>
      <c r="G30" s="31" t="s">
        <v>26</v>
      </c>
      <c r="H30" s="44"/>
      <c r="I30" s="258">
        <f>SUM(H25:H31)</f>
        <v>72538727</v>
      </c>
    </row>
    <row r="31" spans="1:9" s="25" customFormat="1" hidden="1" x14ac:dyDescent="0.2">
      <c r="F31" s="21"/>
      <c r="G31" s="21"/>
      <c r="H31" s="45"/>
      <c r="I31" s="45"/>
    </row>
    <row r="32" spans="1:9" s="25" customFormat="1" ht="12.75" thickTop="1" x14ac:dyDescent="0.2">
      <c r="A32" s="33"/>
      <c r="B32" s="33"/>
      <c r="C32" s="44"/>
      <c r="D32" s="43"/>
      <c r="F32" s="21"/>
    </row>
    <row r="33" spans="1:10" s="25" customFormat="1" ht="12.75" thickBot="1" x14ac:dyDescent="0.25">
      <c r="A33" s="33"/>
      <c r="B33" s="34" t="s">
        <v>27</v>
      </c>
      <c r="C33" s="44"/>
      <c r="D33" s="48">
        <f>D22+D30</f>
        <v>74723919</v>
      </c>
      <c r="E33" s="33"/>
      <c r="F33" s="33"/>
      <c r="G33" s="31" t="s">
        <v>28</v>
      </c>
      <c r="H33" s="44"/>
      <c r="I33" s="258">
        <f>I23+I30</f>
        <v>74723919</v>
      </c>
    </row>
    <row r="34" spans="1:10" s="33" customFormat="1" ht="12.75" thickTop="1" x14ac:dyDescent="0.2">
      <c r="A34" s="25"/>
      <c r="B34" s="25"/>
      <c r="C34" s="45"/>
      <c r="D34" s="46"/>
      <c r="E34" s="25"/>
      <c r="F34" s="25"/>
      <c r="G34" s="25"/>
      <c r="H34" s="25"/>
      <c r="I34" s="25"/>
    </row>
    <row r="35" spans="1:10" s="25" customFormat="1" x14ac:dyDescent="0.2">
      <c r="A35" s="33" t="s">
        <v>29</v>
      </c>
      <c r="C35" s="45"/>
      <c r="D35" s="43">
        <f>SUM(C36:C41)</f>
        <v>93167373</v>
      </c>
      <c r="E35" s="33"/>
      <c r="F35" s="33" t="s">
        <v>30</v>
      </c>
      <c r="G35" s="33"/>
      <c r="H35" s="44"/>
      <c r="I35" s="43">
        <f>SUM(H36:H41)</f>
        <v>93167373</v>
      </c>
    </row>
    <row r="36" spans="1:10" s="33" customFormat="1" x14ac:dyDescent="0.2">
      <c r="A36" s="25" t="s">
        <v>432</v>
      </c>
      <c r="B36" s="25"/>
      <c r="C36" s="46">
        <v>5544000</v>
      </c>
      <c r="D36" s="46"/>
      <c r="F36" s="25" t="s">
        <v>432</v>
      </c>
      <c r="G36" s="25"/>
      <c r="H36" s="46">
        <v>5544000</v>
      </c>
      <c r="I36" s="142"/>
    </row>
    <row r="37" spans="1:10" s="33" customFormat="1" x14ac:dyDescent="0.2">
      <c r="A37" s="25" t="s">
        <v>433</v>
      </c>
      <c r="B37" s="25"/>
      <c r="C37" s="46">
        <v>6443500</v>
      </c>
      <c r="D37" s="46"/>
      <c r="F37" s="25" t="s">
        <v>433</v>
      </c>
      <c r="G37" s="25"/>
      <c r="H37" s="46">
        <v>6443500</v>
      </c>
      <c r="I37" s="142"/>
    </row>
    <row r="38" spans="1:10" s="33" customFormat="1" x14ac:dyDescent="0.2">
      <c r="A38" s="25" t="s">
        <v>520</v>
      </c>
      <c r="B38" s="25"/>
      <c r="C38" s="46">
        <v>0</v>
      </c>
      <c r="D38" s="46"/>
      <c r="F38" s="25" t="s">
        <v>520</v>
      </c>
      <c r="G38" s="25"/>
      <c r="H38" s="46">
        <v>0</v>
      </c>
      <c r="I38" s="142"/>
    </row>
    <row r="39" spans="1:10" s="33" customFormat="1" x14ac:dyDescent="0.2">
      <c r="A39" s="25" t="s">
        <v>434</v>
      </c>
      <c r="B39" s="25"/>
      <c r="C39" s="46">
        <v>7862102</v>
      </c>
      <c r="D39" s="46"/>
      <c r="E39" s="21"/>
      <c r="F39" s="25" t="s">
        <v>434</v>
      </c>
      <c r="G39" s="25"/>
      <c r="H39" s="46">
        <v>7862102</v>
      </c>
      <c r="I39" s="43"/>
    </row>
    <row r="40" spans="1:10" s="25" customFormat="1" x14ac:dyDescent="0.2">
      <c r="A40" s="25" t="s">
        <v>435</v>
      </c>
      <c r="C40" s="45">
        <v>24520823</v>
      </c>
      <c r="D40" s="46"/>
      <c r="F40" s="25" t="s">
        <v>435</v>
      </c>
      <c r="H40" s="45">
        <v>24520823</v>
      </c>
      <c r="I40" s="43"/>
    </row>
    <row r="41" spans="1:10" s="25" customFormat="1" x14ac:dyDescent="0.2">
      <c r="A41" s="25" t="s">
        <v>486</v>
      </c>
      <c r="B41" s="33"/>
      <c r="C41" s="47">
        <v>48796948</v>
      </c>
      <c r="D41" s="43"/>
      <c r="F41" s="25" t="s">
        <v>486</v>
      </c>
      <c r="G41" s="33"/>
      <c r="H41" s="47">
        <v>48796948</v>
      </c>
    </row>
    <row r="42" spans="1:10" s="25" customFormat="1" x14ac:dyDescent="0.2">
      <c r="A42" s="21"/>
      <c r="B42" s="21"/>
      <c r="C42" s="46"/>
      <c r="D42" s="46"/>
      <c r="H42" s="46"/>
      <c r="I42" s="46"/>
    </row>
    <row r="43" spans="1:10" s="25" customFormat="1" x14ac:dyDescent="0.2">
      <c r="A43" s="21"/>
      <c r="B43" s="21"/>
      <c r="C43" s="46"/>
      <c r="D43" s="46"/>
      <c r="H43" s="45"/>
      <c r="I43" s="46"/>
    </row>
    <row r="44" spans="1:10" s="25" customFormat="1" x14ac:dyDescent="0.2">
      <c r="A44" s="21"/>
      <c r="B44" s="21"/>
      <c r="C44" s="46"/>
      <c r="D44" s="46"/>
      <c r="H44" s="45"/>
      <c r="I44" s="46"/>
    </row>
    <row r="45" spans="1:10" s="25" customFormat="1" x14ac:dyDescent="0.2">
      <c r="A45" s="21"/>
      <c r="B45" s="21"/>
      <c r="C45" s="46"/>
      <c r="D45" s="46"/>
      <c r="H45" s="45"/>
      <c r="I45" s="46"/>
    </row>
    <row r="46" spans="1:10" s="25" customFormat="1" x14ac:dyDescent="0.2">
      <c r="A46" s="21"/>
      <c r="B46" s="21"/>
      <c r="C46" s="46"/>
      <c r="D46" s="46"/>
      <c r="H46" s="46"/>
      <c r="I46" s="46"/>
    </row>
    <row r="47" spans="1:10" x14ac:dyDescent="0.2">
      <c r="A47" s="278" t="s">
        <v>481</v>
      </c>
      <c r="B47" s="278"/>
      <c r="D47" s="279" t="s">
        <v>477</v>
      </c>
      <c r="E47" s="279"/>
      <c r="F47" s="279"/>
      <c r="G47" s="22"/>
      <c r="H47" s="275" t="s">
        <v>483</v>
      </c>
      <c r="I47" s="275"/>
    </row>
    <row r="48" spans="1:10" x14ac:dyDescent="0.2">
      <c r="A48" s="273" t="s">
        <v>187</v>
      </c>
      <c r="B48" s="273"/>
      <c r="D48" s="280" t="s">
        <v>482</v>
      </c>
      <c r="E48" s="280"/>
      <c r="F48" s="280"/>
      <c r="G48" s="38"/>
      <c r="H48" s="272" t="s">
        <v>413</v>
      </c>
      <c r="I48" s="272"/>
      <c r="J48" s="138"/>
    </row>
    <row r="49" spans="1:10" x14ac:dyDescent="0.2">
      <c r="E49" s="226"/>
      <c r="H49" s="272"/>
      <c r="I49" s="272"/>
      <c r="J49" s="138"/>
    </row>
    <row r="50" spans="1:10" x14ac:dyDescent="0.2">
      <c r="I50" s="222"/>
      <c r="J50" s="138"/>
    </row>
    <row r="51" spans="1:10" x14ac:dyDescent="0.2">
      <c r="I51" s="222"/>
      <c r="J51" s="138"/>
    </row>
    <row r="52" spans="1:10" ht="15" x14ac:dyDescent="0.25">
      <c r="A52" s="275"/>
      <c r="B52" s="275"/>
      <c r="D52" s="276" t="s">
        <v>374</v>
      </c>
      <c r="E52" s="277"/>
      <c r="F52" s="277"/>
      <c r="I52" s="222"/>
    </row>
    <row r="53" spans="1:10" ht="15" x14ac:dyDescent="0.25">
      <c r="A53" s="272" t="s">
        <v>373</v>
      </c>
      <c r="B53" s="272"/>
      <c r="D53" s="272" t="s">
        <v>37</v>
      </c>
      <c r="E53" s="274"/>
      <c r="F53" s="274"/>
    </row>
    <row r="54" spans="1:10" ht="15" x14ac:dyDescent="0.25">
      <c r="A54" s="272"/>
      <c r="B54" s="272"/>
      <c r="C54" s="21"/>
      <c r="D54" s="273" t="s">
        <v>379</v>
      </c>
      <c r="E54" s="274"/>
      <c r="F54" s="274"/>
      <c r="G54" s="21"/>
      <c r="H54" s="21"/>
      <c r="I54" s="21"/>
    </row>
  </sheetData>
  <mergeCells count="19">
    <mergeCell ref="A6:B6"/>
    <mergeCell ref="F6:G6"/>
    <mergeCell ref="A1:I1"/>
    <mergeCell ref="A2:I2"/>
    <mergeCell ref="A3:I3"/>
    <mergeCell ref="A4:I4"/>
    <mergeCell ref="A47:B47"/>
    <mergeCell ref="D47:F47"/>
    <mergeCell ref="H47:I47"/>
    <mergeCell ref="A48:B48"/>
    <mergeCell ref="D48:F48"/>
    <mergeCell ref="H48:I48"/>
    <mergeCell ref="A54:B54"/>
    <mergeCell ref="D54:F54"/>
    <mergeCell ref="H49:I49"/>
    <mergeCell ref="A52:B52"/>
    <mergeCell ref="D52:F52"/>
    <mergeCell ref="A53:B53"/>
    <mergeCell ref="D53:F53"/>
  </mergeCells>
  <phoneticPr fontId="22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scale="95" orientation="landscape" horizontalDpi="4294967292" verticalDpi="300" copies="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A7" sqref="A7"/>
    </sheetView>
  </sheetViews>
  <sheetFormatPr baseColWidth="10" defaultColWidth="11.42578125" defaultRowHeight="12" x14ac:dyDescent="0.2"/>
  <cols>
    <col min="1" max="1" width="6.7109375" style="21" customWidth="1"/>
    <col min="2" max="2" width="23.28515625" style="21" customWidth="1"/>
    <col min="3" max="3" width="6.7109375" style="21" customWidth="1"/>
    <col min="4" max="4" width="24.7109375" style="29" customWidth="1"/>
    <col min="5" max="5" width="6.7109375" style="29" customWidth="1"/>
    <col min="6" max="6" width="24.7109375" style="29" customWidth="1"/>
    <col min="7" max="7" width="13.28515625" style="25" bestFit="1" customWidth="1"/>
    <col min="8" max="8" width="14.28515625" style="25" customWidth="1"/>
    <col min="9" max="9" width="12.7109375" style="21" bestFit="1" customWidth="1"/>
    <col min="10" max="10" width="12.7109375" style="25" hidden="1" customWidth="1"/>
    <col min="11" max="11" width="11.7109375" style="25" hidden="1" customWidth="1"/>
    <col min="12" max="14" width="0" style="25" hidden="1" customWidth="1"/>
    <col min="15" max="15" width="0" style="21" hidden="1" customWidth="1"/>
    <col min="16" max="16384" width="11.42578125" style="21"/>
  </cols>
  <sheetData>
    <row r="2" spans="1:15" hidden="1" x14ac:dyDescent="0.2"/>
    <row r="3" spans="1:15" ht="12.75" x14ac:dyDescent="0.2">
      <c r="A3" s="282" t="s">
        <v>368</v>
      </c>
      <c r="B3" s="278"/>
      <c r="C3" s="278"/>
      <c r="D3" s="278"/>
      <c r="E3" s="278"/>
      <c r="F3" s="278"/>
    </row>
    <row r="4" spans="1:15" x14ac:dyDescent="0.2">
      <c r="A4" s="278" t="s">
        <v>369</v>
      </c>
      <c r="B4" s="278"/>
      <c r="C4" s="278"/>
      <c r="D4" s="278"/>
      <c r="E4" s="278"/>
      <c r="F4" s="278"/>
    </row>
    <row r="5" spans="1:15" x14ac:dyDescent="0.2">
      <c r="A5" s="278" t="s">
        <v>39</v>
      </c>
      <c r="B5" s="278"/>
      <c r="C5" s="278"/>
      <c r="D5" s="278"/>
      <c r="E5" s="278"/>
      <c r="F5" s="278"/>
    </row>
    <row r="6" spans="1:15" x14ac:dyDescent="0.2">
      <c r="A6" s="278" t="s">
        <v>538</v>
      </c>
      <c r="B6" s="278"/>
      <c r="C6" s="278"/>
      <c r="D6" s="278"/>
      <c r="E6" s="278"/>
      <c r="F6" s="278"/>
    </row>
    <row r="7" spans="1:15" x14ac:dyDescent="0.2">
      <c r="A7" s="36"/>
      <c r="B7" s="36"/>
      <c r="C7" s="36"/>
      <c r="D7" s="26"/>
      <c r="E7" s="26"/>
      <c r="F7" s="26"/>
    </row>
    <row r="8" spans="1:15" x14ac:dyDescent="0.2">
      <c r="A8" s="36"/>
      <c r="B8" s="36"/>
      <c r="C8" s="36"/>
      <c r="D8" s="26"/>
      <c r="E8" s="26"/>
      <c r="F8" s="26"/>
    </row>
    <row r="10" spans="1:15" s="23" customFormat="1" x14ac:dyDescent="0.2">
      <c r="A10" s="284" t="s">
        <v>1</v>
      </c>
      <c r="B10" s="284"/>
      <c r="C10" s="284"/>
      <c r="D10" s="24" t="s">
        <v>155</v>
      </c>
      <c r="E10" s="32"/>
      <c r="F10" s="269" t="s">
        <v>536</v>
      </c>
      <c r="G10" s="79"/>
      <c r="H10" s="79"/>
      <c r="J10" s="80"/>
      <c r="K10" s="80"/>
      <c r="L10" s="80"/>
      <c r="M10" s="80"/>
      <c r="N10" s="80"/>
    </row>
    <row r="11" spans="1:15" s="36" customFormat="1" x14ac:dyDescent="0.2">
      <c r="A11" s="23"/>
      <c r="B11" s="23"/>
      <c r="C11" s="23"/>
      <c r="D11" s="24"/>
      <c r="E11" s="29"/>
      <c r="F11" s="24"/>
      <c r="G11" s="22"/>
      <c r="H11" s="22"/>
      <c r="J11" s="25"/>
      <c r="K11" s="25"/>
      <c r="L11" s="25"/>
      <c r="M11" s="25"/>
      <c r="N11" s="25"/>
    </row>
    <row r="12" spans="1:15" x14ac:dyDescent="0.2">
      <c r="A12" s="27" t="s">
        <v>41</v>
      </c>
      <c r="B12" s="27"/>
      <c r="C12" s="27"/>
    </row>
    <row r="13" spans="1:15" x14ac:dyDescent="0.2">
      <c r="A13" s="27"/>
      <c r="B13" s="27"/>
      <c r="C13" s="27"/>
    </row>
    <row r="14" spans="1:15" x14ac:dyDescent="0.2">
      <c r="A14" s="27" t="s">
        <v>42</v>
      </c>
      <c r="B14" s="27"/>
      <c r="D14" s="28"/>
    </row>
    <row r="15" spans="1:15" x14ac:dyDescent="0.2">
      <c r="A15" s="21" t="s">
        <v>370</v>
      </c>
      <c r="D15" s="29">
        <v>0</v>
      </c>
      <c r="F15" s="29">
        <v>3374086</v>
      </c>
      <c r="O15" s="29">
        <f>616000+D15</f>
        <v>616000</v>
      </c>
    </row>
    <row r="16" spans="1:15" x14ac:dyDescent="0.2">
      <c r="A16" s="21" t="s">
        <v>371</v>
      </c>
      <c r="D16" s="32">
        <v>57432</v>
      </c>
      <c r="F16" s="29">
        <v>58876946</v>
      </c>
      <c r="O16" s="32">
        <f>8488395+D16</f>
        <v>8545827</v>
      </c>
    </row>
    <row r="17" spans="1:15" x14ac:dyDescent="0.2">
      <c r="C17" s="31" t="s">
        <v>44</v>
      </c>
      <c r="D17" s="143">
        <f>SUM(D15:D16)</f>
        <v>57432</v>
      </c>
      <c r="F17" s="143">
        <f>SUM(F15:F16)</f>
        <v>62251032</v>
      </c>
      <c r="O17" s="143">
        <f>SUM(O15:O16)</f>
        <v>9161827</v>
      </c>
    </row>
    <row r="18" spans="1:15" x14ac:dyDescent="0.2">
      <c r="A18" s="27" t="s">
        <v>45</v>
      </c>
      <c r="B18" s="27"/>
      <c r="D18" s="28"/>
      <c r="F18" s="28"/>
      <c r="O18" s="28"/>
    </row>
    <row r="19" spans="1:15" hidden="1" x14ac:dyDescent="0.2">
      <c r="A19" s="21" t="s">
        <v>47</v>
      </c>
      <c r="D19" s="29">
        <v>0</v>
      </c>
      <c r="F19" s="29">
        <v>0</v>
      </c>
      <c r="O19" s="29">
        <v>0</v>
      </c>
    </row>
    <row r="20" spans="1:15" x14ac:dyDescent="0.2">
      <c r="A20" s="21" t="s">
        <v>46</v>
      </c>
      <c r="D20" s="29">
        <v>358023</v>
      </c>
      <c r="F20" s="29">
        <v>4005853</v>
      </c>
      <c r="O20" s="29">
        <v>0</v>
      </c>
    </row>
    <row r="21" spans="1:15" hidden="1" x14ac:dyDescent="0.2">
      <c r="A21" s="21" t="s">
        <v>48</v>
      </c>
      <c r="D21" s="29">
        <v>0</v>
      </c>
      <c r="F21" s="29">
        <v>0</v>
      </c>
      <c r="O21" s="29">
        <v>0</v>
      </c>
    </row>
    <row r="22" spans="1:15" hidden="1" x14ac:dyDescent="0.2">
      <c r="A22" s="21" t="s">
        <v>266</v>
      </c>
      <c r="D22" s="29">
        <v>0</v>
      </c>
      <c r="F22" s="29">
        <v>0</v>
      </c>
      <c r="O22" s="29">
        <v>0</v>
      </c>
    </row>
    <row r="23" spans="1:15" hidden="1" x14ac:dyDescent="0.2">
      <c r="A23" s="21" t="s">
        <v>170</v>
      </c>
      <c r="D23" s="29">
        <v>0</v>
      </c>
      <c r="F23" s="29">
        <v>0</v>
      </c>
      <c r="O23" s="29">
        <v>0</v>
      </c>
    </row>
    <row r="24" spans="1:15" x14ac:dyDescent="0.2">
      <c r="A24" s="21" t="s">
        <v>521</v>
      </c>
      <c r="D24" s="29">
        <v>0</v>
      </c>
      <c r="F24" s="29">
        <v>4698384</v>
      </c>
      <c r="O24" s="29">
        <v>0</v>
      </c>
    </row>
    <row r="25" spans="1:15" x14ac:dyDescent="0.2">
      <c r="A25" s="21" t="s">
        <v>485</v>
      </c>
      <c r="D25" s="267">
        <v>1163120</v>
      </c>
      <c r="F25" s="29">
        <v>9257630</v>
      </c>
      <c r="O25" s="29">
        <v>0</v>
      </c>
    </row>
    <row r="26" spans="1:15" x14ac:dyDescent="0.2">
      <c r="A26" s="21" t="s">
        <v>200</v>
      </c>
      <c r="D26" s="30">
        <v>0</v>
      </c>
      <c r="F26" s="30">
        <v>163</v>
      </c>
      <c r="O26" s="30">
        <v>0</v>
      </c>
    </row>
    <row r="27" spans="1:15" x14ac:dyDescent="0.2">
      <c r="C27" s="31" t="s">
        <v>49</v>
      </c>
      <c r="D27" s="35">
        <f>SUM(D19:D26)</f>
        <v>1521143</v>
      </c>
      <c r="E27" s="35"/>
      <c r="F27" s="35">
        <f>SUM(F19:F26)</f>
        <v>17962030</v>
      </c>
      <c r="O27" s="35">
        <f>SUM(O19:O26)</f>
        <v>0</v>
      </c>
    </row>
    <row r="28" spans="1:15" s="27" customFormat="1" x14ac:dyDescent="0.2">
      <c r="C28" s="31" t="s">
        <v>50</v>
      </c>
      <c r="D28" s="35">
        <f>D17+D27</f>
        <v>1578575</v>
      </c>
      <c r="E28" s="29"/>
      <c r="F28" s="35">
        <f>F17+F27</f>
        <v>80213062</v>
      </c>
      <c r="G28" s="33"/>
      <c r="H28" s="33"/>
      <c r="J28" s="33"/>
      <c r="K28" s="33"/>
      <c r="L28" s="33"/>
      <c r="M28" s="33"/>
      <c r="N28" s="33"/>
      <c r="O28" s="35">
        <f>O17+O27</f>
        <v>9161827</v>
      </c>
    </row>
    <row r="29" spans="1:15" x14ac:dyDescent="0.2">
      <c r="D29" s="25"/>
      <c r="E29" s="25"/>
      <c r="F29" s="25"/>
      <c r="O29" s="25"/>
    </row>
    <row r="30" spans="1:15" x14ac:dyDescent="0.2">
      <c r="A30" s="27" t="s">
        <v>51</v>
      </c>
      <c r="B30" s="27"/>
      <c r="C30" s="27"/>
      <c r="O30" s="29"/>
    </row>
    <row r="31" spans="1:15" x14ac:dyDescent="0.2">
      <c r="A31" s="27" t="s">
        <v>52</v>
      </c>
      <c r="B31" s="27"/>
      <c r="D31" s="28"/>
      <c r="F31" s="28"/>
      <c r="I31" s="25"/>
      <c r="O31" s="28"/>
    </row>
    <row r="32" spans="1:15" x14ac:dyDescent="0.2">
      <c r="A32" s="21" t="s">
        <v>522</v>
      </c>
      <c r="B32" s="27"/>
      <c r="D32" s="29">
        <v>1301591</v>
      </c>
      <c r="F32" s="29">
        <v>11851819</v>
      </c>
      <c r="I32" s="25"/>
      <c r="O32" s="28"/>
    </row>
    <row r="33" spans="1:15" x14ac:dyDescent="0.2">
      <c r="A33" s="21" t="s">
        <v>53</v>
      </c>
      <c r="D33" s="29">
        <v>1418400</v>
      </c>
      <c r="F33" s="29">
        <v>18204050</v>
      </c>
      <c r="I33" s="25"/>
      <c r="O33" s="29">
        <f>1618400+D33</f>
        <v>3036800</v>
      </c>
    </row>
    <row r="34" spans="1:15" x14ac:dyDescent="0.2">
      <c r="A34" s="21" t="s">
        <v>523</v>
      </c>
      <c r="D34" s="29">
        <v>0</v>
      </c>
      <c r="F34" s="29">
        <v>1743984</v>
      </c>
      <c r="I34" s="25"/>
      <c r="O34" s="29"/>
    </row>
    <row r="35" spans="1:15" x14ac:dyDescent="0.2">
      <c r="A35" s="21" t="s">
        <v>475</v>
      </c>
      <c r="D35" s="29">
        <v>847000</v>
      </c>
      <c r="F35" s="29">
        <v>9982760</v>
      </c>
      <c r="I35" s="25"/>
      <c r="O35" s="29">
        <f>644350+644350</f>
        <v>1288700</v>
      </c>
    </row>
    <row r="36" spans="1:15" x14ac:dyDescent="0.2">
      <c r="A36" s="21" t="s">
        <v>437</v>
      </c>
      <c r="D36" s="29">
        <v>0</v>
      </c>
      <c r="F36" s="29">
        <v>4690112</v>
      </c>
      <c r="I36" s="25"/>
      <c r="O36" s="29">
        <v>0</v>
      </c>
    </row>
    <row r="37" spans="1:15" x14ac:dyDescent="0.2">
      <c r="A37" s="21" t="s">
        <v>479</v>
      </c>
      <c r="D37" s="29">
        <v>1740000</v>
      </c>
      <c r="F37" s="29">
        <v>1740000</v>
      </c>
      <c r="I37" s="25"/>
      <c r="O37" s="29"/>
    </row>
    <row r="38" spans="1:15" x14ac:dyDescent="0.2">
      <c r="A38" s="21" t="s">
        <v>54</v>
      </c>
      <c r="D38" s="29">
        <v>570540</v>
      </c>
      <c r="F38" s="29">
        <f>9354236+1766000</f>
        <v>11120236</v>
      </c>
      <c r="I38" s="25"/>
      <c r="O38" s="29">
        <v>64799</v>
      </c>
    </row>
    <row r="39" spans="1:15" hidden="1" x14ac:dyDescent="0.2">
      <c r="A39" s="21" t="s">
        <v>416</v>
      </c>
      <c r="D39" s="29">
        <v>0</v>
      </c>
      <c r="F39" s="29">
        <v>0</v>
      </c>
      <c r="I39" s="25"/>
      <c r="O39" s="29">
        <v>0</v>
      </c>
    </row>
    <row r="40" spans="1:15" hidden="1" x14ac:dyDescent="0.2">
      <c r="A40" s="21" t="s">
        <v>450</v>
      </c>
      <c r="D40" s="29">
        <v>0</v>
      </c>
      <c r="F40" s="29">
        <v>0</v>
      </c>
      <c r="I40" s="25"/>
      <c r="O40" s="29">
        <v>0</v>
      </c>
    </row>
    <row r="41" spans="1:15" x14ac:dyDescent="0.2">
      <c r="A41" s="21" t="s">
        <v>55</v>
      </c>
      <c r="D41" s="29">
        <v>0</v>
      </c>
      <c r="F41" s="29">
        <v>40000</v>
      </c>
      <c r="I41" s="25"/>
      <c r="O41" s="29">
        <v>0</v>
      </c>
    </row>
    <row r="42" spans="1:15" x14ac:dyDescent="0.2">
      <c r="A42" s="21" t="s">
        <v>56</v>
      </c>
      <c r="D42" s="29">
        <v>0</v>
      </c>
      <c r="F42" s="29">
        <v>60000</v>
      </c>
      <c r="G42" s="70"/>
      <c r="I42" s="25"/>
      <c r="O42" s="29">
        <v>0</v>
      </c>
    </row>
    <row r="43" spans="1:15" x14ac:dyDescent="0.2">
      <c r="A43" s="21" t="s">
        <v>537</v>
      </c>
      <c r="D43" s="29">
        <v>928560</v>
      </c>
      <c r="F43" s="29">
        <v>928560</v>
      </c>
      <c r="G43" s="70"/>
      <c r="I43" s="25"/>
      <c r="O43" s="29"/>
    </row>
    <row r="44" spans="1:15" x14ac:dyDescent="0.2">
      <c r="A44" s="76" t="s">
        <v>417</v>
      </c>
      <c r="B44" s="76"/>
      <c r="C44" s="76"/>
      <c r="D44" s="32">
        <v>0</v>
      </c>
      <c r="E44" s="32"/>
      <c r="F44" s="29">
        <f>2838020+4462700</f>
        <v>7300720</v>
      </c>
      <c r="I44" s="25"/>
      <c r="O44" s="32">
        <v>0</v>
      </c>
    </row>
    <row r="45" spans="1:15" x14ac:dyDescent="0.2">
      <c r="A45" s="76" t="s">
        <v>418</v>
      </c>
      <c r="B45" s="76"/>
      <c r="C45" s="76"/>
      <c r="D45" s="32">
        <v>0</v>
      </c>
      <c r="E45" s="32"/>
      <c r="F45" s="29">
        <v>227582</v>
      </c>
      <c r="I45" s="25"/>
      <c r="O45" s="32">
        <v>0</v>
      </c>
    </row>
    <row r="46" spans="1:15" x14ac:dyDescent="0.2">
      <c r="A46" s="76" t="s">
        <v>419</v>
      </c>
      <c r="B46" s="76"/>
      <c r="C46" s="76"/>
      <c r="D46" s="32">
        <v>0</v>
      </c>
      <c r="E46" s="32"/>
      <c r="F46" s="29">
        <v>754812</v>
      </c>
      <c r="I46" s="25"/>
      <c r="O46" s="32">
        <v>295308</v>
      </c>
    </row>
    <row r="47" spans="1:15" x14ac:dyDescent="0.2">
      <c r="A47" s="76" t="s">
        <v>420</v>
      </c>
      <c r="B47" s="76"/>
      <c r="C47" s="76"/>
      <c r="D47" s="32">
        <v>0</v>
      </c>
      <c r="E47" s="32"/>
      <c r="F47" s="29">
        <v>513500</v>
      </c>
      <c r="I47" s="25"/>
      <c r="O47" s="32">
        <v>0</v>
      </c>
    </row>
    <row r="48" spans="1:15" hidden="1" x14ac:dyDescent="0.2">
      <c r="A48" s="76" t="s">
        <v>458</v>
      </c>
      <c r="B48" s="76"/>
      <c r="C48" s="76"/>
      <c r="D48" s="32">
        <v>0</v>
      </c>
      <c r="E48" s="32"/>
      <c r="F48" s="29">
        <v>0</v>
      </c>
      <c r="I48" s="25"/>
      <c r="O48" s="32"/>
    </row>
    <row r="49" spans="1:15" hidden="1" x14ac:dyDescent="0.2">
      <c r="A49" s="76" t="s">
        <v>439</v>
      </c>
      <c r="B49" s="76"/>
      <c r="C49" s="76"/>
      <c r="D49" s="32">
        <v>0</v>
      </c>
      <c r="E49" s="32"/>
      <c r="F49" s="29">
        <v>0</v>
      </c>
      <c r="I49" s="25"/>
      <c r="O49" s="32"/>
    </row>
    <row r="50" spans="1:15" x14ac:dyDescent="0.2">
      <c r="A50" s="76" t="s">
        <v>441</v>
      </c>
      <c r="B50" s="76"/>
      <c r="C50" s="76"/>
      <c r="D50" s="32">
        <v>0</v>
      </c>
      <c r="E50" s="32"/>
      <c r="F50" s="29">
        <v>897300</v>
      </c>
      <c r="I50" s="25"/>
      <c r="O50" s="32">
        <v>33800</v>
      </c>
    </row>
    <row r="51" spans="1:15" hidden="1" x14ac:dyDescent="0.2">
      <c r="A51" s="76" t="s">
        <v>430</v>
      </c>
      <c r="B51" s="76"/>
      <c r="C51" s="76"/>
      <c r="D51" s="32">
        <v>0</v>
      </c>
      <c r="E51" s="32"/>
      <c r="F51" s="29">
        <v>0</v>
      </c>
      <c r="I51" s="25"/>
      <c r="O51" s="32">
        <v>75700</v>
      </c>
    </row>
    <row r="52" spans="1:15" x14ac:dyDescent="0.2">
      <c r="A52" s="76" t="s">
        <v>459</v>
      </c>
      <c r="B52" s="76"/>
      <c r="C52" s="76"/>
      <c r="D52" s="32">
        <v>0</v>
      </c>
      <c r="E52" s="32"/>
      <c r="F52" s="29">
        <v>73900</v>
      </c>
      <c r="I52" s="25"/>
      <c r="O52" s="32"/>
    </row>
    <row r="53" spans="1:15" x14ac:dyDescent="0.2">
      <c r="A53" s="76" t="s">
        <v>421</v>
      </c>
      <c r="B53" s="76"/>
      <c r="C53" s="76"/>
      <c r="D53" s="32">
        <v>0</v>
      </c>
      <c r="E53" s="32"/>
      <c r="F53" s="32">
        <v>112648</v>
      </c>
      <c r="I53" s="25"/>
      <c r="O53" s="32"/>
    </row>
    <row r="54" spans="1:15" x14ac:dyDescent="0.2">
      <c r="A54" s="76" t="s">
        <v>516</v>
      </c>
      <c r="B54" s="76"/>
      <c r="C54" s="76"/>
      <c r="D54" s="30">
        <v>0</v>
      </c>
      <c r="E54" s="32"/>
      <c r="F54" s="30">
        <v>8840</v>
      </c>
      <c r="I54" s="25"/>
      <c r="O54" s="30">
        <v>0</v>
      </c>
    </row>
    <row r="55" spans="1:15" hidden="1" x14ac:dyDescent="0.2">
      <c r="A55" s="76" t="s">
        <v>227</v>
      </c>
      <c r="B55" s="76"/>
      <c r="C55" s="76"/>
      <c r="D55" s="32">
        <v>0</v>
      </c>
      <c r="E55" s="32"/>
      <c r="F55" s="32">
        <v>0</v>
      </c>
      <c r="I55" s="25"/>
      <c r="O55" s="32">
        <v>0</v>
      </c>
    </row>
    <row r="56" spans="1:15" hidden="1" x14ac:dyDescent="0.2">
      <c r="A56" s="21" t="s">
        <v>100</v>
      </c>
      <c r="C56" s="76"/>
      <c r="D56" s="32">
        <v>0</v>
      </c>
      <c r="E56" s="32"/>
      <c r="F56" s="32">
        <v>0</v>
      </c>
      <c r="I56" s="25"/>
      <c r="O56" s="32">
        <v>0</v>
      </c>
    </row>
    <row r="57" spans="1:15" hidden="1" x14ac:dyDescent="0.2">
      <c r="A57" s="21" t="s">
        <v>153</v>
      </c>
      <c r="C57" s="76"/>
      <c r="D57" s="32">
        <v>0</v>
      </c>
      <c r="E57" s="32"/>
      <c r="F57" s="32">
        <v>0</v>
      </c>
      <c r="I57" s="25"/>
      <c r="O57" s="32">
        <v>0</v>
      </c>
    </row>
    <row r="58" spans="1:15" hidden="1" x14ac:dyDescent="0.2">
      <c r="A58" s="21" t="s">
        <v>181</v>
      </c>
      <c r="D58" s="30">
        <v>0</v>
      </c>
      <c r="F58" s="30">
        <v>0</v>
      </c>
      <c r="I58" s="25"/>
      <c r="O58" s="30">
        <v>0</v>
      </c>
    </row>
    <row r="59" spans="1:15" s="27" customFormat="1" x14ac:dyDescent="0.2">
      <c r="C59" s="31" t="s">
        <v>57</v>
      </c>
      <c r="D59" s="28">
        <f>SUM(D32:D58)</f>
        <v>6806091</v>
      </c>
      <c r="E59" s="29"/>
      <c r="F59" s="28">
        <f>SUM(F32:F58)</f>
        <v>70250823</v>
      </c>
      <c r="G59" s="33"/>
      <c r="H59" s="33"/>
      <c r="J59" s="33"/>
      <c r="K59" s="33"/>
      <c r="L59" s="33"/>
      <c r="M59" s="33"/>
      <c r="N59" s="33"/>
      <c r="O59" s="28">
        <f>SUM(O33:O58)</f>
        <v>4795107</v>
      </c>
    </row>
    <row r="60" spans="1:15" s="27" customFormat="1" x14ac:dyDescent="0.2">
      <c r="C60" s="31"/>
      <c r="D60" s="28"/>
      <c r="E60" s="29"/>
      <c r="F60" s="28"/>
      <c r="G60" s="33"/>
      <c r="H60" s="33"/>
      <c r="J60" s="33"/>
      <c r="K60" s="33"/>
      <c r="L60" s="33"/>
      <c r="M60" s="33"/>
      <c r="N60" s="33"/>
      <c r="O60" s="28"/>
    </row>
    <row r="61" spans="1:15" x14ac:dyDescent="0.2">
      <c r="A61" s="27" t="s">
        <v>58</v>
      </c>
      <c r="B61" s="27"/>
      <c r="O61" s="29"/>
    </row>
    <row r="62" spans="1:15" x14ac:dyDescent="0.2">
      <c r="A62" s="21" t="s">
        <v>372</v>
      </c>
      <c r="D62" s="29">
        <v>98072</v>
      </c>
      <c r="F62" s="29">
        <v>2044778</v>
      </c>
      <c r="O62" s="29">
        <f>5942+D62</f>
        <v>104014</v>
      </c>
    </row>
    <row r="63" spans="1:15" x14ac:dyDescent="0.2">
      <c r="A63" s="21" t="s">
        <v>324</v>
      </c>
      <c r="D63" s="30">
        <v>15228</v>
      </c>
      <c r="F63" s="30">
        <f>842803+12000</f>
        <v>854803</v>
      </c>
      <c r="O63" s="30">
        <v>0</v>
      </c>
    </row>
    <row r="64" spans="1:15" hidden="1" x14ac:dyDescent="0.2">
      <c r="A64" s="21" t="s">
        <v>146</v>
      </c>
      <c r="D64" s="30">
        <v>0</v>
      </c>
      <c r="F64" s="30">
        <v>0</v>
      </c>
      <c r="O64" s="30">
        <v>0</v>
      </c>
    </row>
    <row r="65" spans="1:15" s="27" customFormat="1" x14ac:dyDescent="0.2">
      <c r="C65" s="31" t="s">
        <v>59</v>
      </c>
      <c r="D65" s="35">
        <f>SUM(D62:D64)</f>
        <v>113300</v>
      </c>
      <c r="E65" s="29"/>
      <c r="F65" s="35">
        <f>SUM(F62:F64)</f>
        <v>2899581</v>
      </c>
      <c r="G65" s="33"/>
      <c r="H65" s="33"/>
      <c r="J65" s="33"/>
      <c r="K65" s="33"/>
      <c r="L65" s="33"/>
      <c r="M65" s="33"/>
      <c r="N65" s="33"/>
      <c r="O65" s="35">
        <f>SUM(O62:O64)</f>
        <v>104014</v>
      </c>
    </row>
    <row r="66" spans="1:15" x14ac:dyDescent="0.2">
      <c r="C66" s="31" t="s">
        <v>184</v>
      </c>
      <c r="D66" s="35">
        <f>D59+D65</f>
        <v>6919391</v>
      </c>
      <c r="E66" s="32"/>
      <c r="F66" s="35">
        <f>F59+F65</f>
        <v>73150404</v>
      </c>
      <c r="O66" s="35">
        <f>O59+O65</f>
        <v>4899121</v>
      </c>
    </row>
    <row r="67" spans="1:15" x14ac:dyDescent="0.2">
      <c r="C67" s="31"/>
      <c r="D67" s="83"/>
      <c r="F67" s="83"/>
      <c r="O67" s="83"/>
    </row>
    <row r="68" spans="1:15" s="27" customFormat="1" x14ac:dyDescent="0.2">
      <c r="A68" s="283" t="s">
        <v>182</v>
      </c>
      <c r="B68" s="283"/>
      <c r="C68" s="283"/>
      <c r="D68" s="35">
        <f>D28-D66</f>
        <v>-5340816</v>
      </c>
      <c r="E68" s="29"/>
      <c r="F68" s="35">
        <f>F28-F66</f>
        <v>7062658</v>
      </c>
      <c r="G68" s="33"/>
      <c r="H68" s="33"/>
      <c r="J68" s="33"/>
      <c r="K68" s="33"/>
      <c r="L68" s="33"/>
      <c r="M68" s="33"/>
      <c r="N68" s="33"/>
      <c r="O68" s="35">
        <f>O28-O66</f>
        <v>4262706</v>
      </c>
    </row>
    <row r="74" spans="1:15" s="76" customFormat="1" x14ac:dyDescent="0.2">
      <c r="D74" s="32"/>
      <c r="E74" s="32"/>
      <c r="F74" s="32"/>
      <c r="G74" s="80"/>
      <c r="H74" s="80"/>
      <c r="J74" s="80"/>
      <c r="K74" s="80"/>
      <c r="L74" s="80"/>
      <c r="M74" s="80"/>
      <c r="N74" s="80"/>
    </row>
    <row r="75" spans="1:15" s="36" customFormat="1" x14ac:dyDescent="0.2">
      <c r="B75" s="263" t="s">
        <v>481</v>
      </c>
      <c r="C75" s="223"/>
      <c r="D75" s="261" t="s">
        <v>477</v>
      </c>
      <c r="E75" s="226"/>
      <c r="F75" s="264" t="s">
        <v>484</v>
      </c>
      <c r="G75" s="22"/>
      <c r="H75" s="252"/>
      <c r="J75" s="22"/>
      <c r="K75" s="22"/>
      <c r="L75" s="22"/>
      <c r="M75" s="22"/>
      <c r="N75" s="22"/>
    </row>
    <row r="76" spans="1:15" s="37" customFormat="1" x14ac:dyDescent="0.2">
      <c r="B76" s="224" t="s">
        <v>187</v>
      </c>
      <c r="C76" s="224"/>
      <c r="D76" s="265" t="s">
        <v>482</v>
      </c>
      <c r="E76" s="226"/>
      <c r="F76" s="227" t="s">
        <v>413</v>
      </c>
      <c r="G76" s="38"/>
      <c r="H76" s="253"/>
      <c r="J76" s="38"/>
      <c r="K76" s="38"/>
      <c r="L76" s="38"/>
      <c r="M76" s="38"/>
      <c r="N76" s="38"/>
    </row>
    <row r="77" spans="1:15" s="37" customFormat="1" x14ac:dyDescent="0.2">
      <c r="B77" s="224"/>
      <c r="C77" s="224"/>
      <c r="D77" s="226"/>
      <c r="E77" s="226"/>
      <c r="F77" s="226"/>
      <c r="G77" s="38"/>
      <c r="H77" s="253"/>
      <c r="J77" s="38"/>
      <c r="K77" s="38"/>
      <c r="L77" s="38"/>
      <c r="M77" s="38"/>
      <c r="N77" s="38"/>
    </row>
    <row r="78" spans="1:15" x14ac:dyDescent="0.2">
      <c r="H78" s="29"/>
    </row>
    <row r="79" spans="1:15" x14ac:dyDescent="0.2">
      <c r="H79" s="29"/>
    </row>
    <row r="80" spans="1:15" x14ac:dyDescent="0.2">
      <c r="H80" s="29"/>
    </row>
    <row r="81" spans="2:10" x14ac:dyDescent="0.2">
      <c r="B81" s="225"/>
      <c r="D81" s="225" t="s">
        <v>374</v>
      </c>
      <c r="F81" s="252"/>
      <c r="H81" s="252"/>
    </row>
    <row r="82" spans="2:10" x14ac:dyDescent="0.2">
      <c r="B82" s="226" t="s">
        <v>373</v>
      </c>
      <c r="D82" s="226" t="s">
        <v>37</v>
      </c>
      <c r="F82" s="253"/>
      <c r="H82" s="253"/>
    </row>
    <row r="83" spans="2:10" x14ac:dyDescent="0.2">
      <c r="B83" s="226"/>
      <c r="D83" s="226" t="s">
        <v>375</v>
      </c>
      <c r="H83" s="253"/>
    </row>
    <row r="84" spans="2:10" x14ac:dyDescent="0.2">
      <c r="B84" s="278"/>
      <c r="C84" s="278"/>
      <c r="D84" s="46"/>
      <c r="E84" s="279"/>
      <c r="F84" s="279"/>
      <c r="G84" s="279"/>
      <c r="H84" s="22"/>
      <c r="I84" s="275"/>
      <c r="J84" s="275"/>
    </row>
    <row r="85" spans="2:10" x14ac:dyDescent="0.2">
      <c r="B85" s="273"/>
      <c r="C85" s="273"/>
      <c r="D85" s="46"/>
      <c r="E85" s="280"/>
      <c r="F85" s="280"/>
      <c r="G85" s="280"/>
      <c r="H85" s="38"/>
      <c r="I85" s="272"/>
      <c r="J85" s="272"/>
    </row>
    <row r="86" spans="2:10" ht="15" customHeight="1" x14ac:dyDescent="0.2">
      <c r="B86" s="278"/>
      <c r="C86" s="278"/>
      <c r="D86" s="278"/>
      <c r="E86" s="278"/>
      <c r="F86" s="278"/>
      <c r="I86" s="272"/>
      <c r="J86" s="272"/>
    </row>
    <row r="87" spans="2:10" ht="15" customHeight="1" x14ac:dyDescent="0.2">
      <c r="B87" s="272"/>
      <c r="C87" s="272"/>
      <c r="D87" s="272"/>
      <c r="E87" s="272"/>
      <c r="F87" s="272"/>
      <c r="I87" s="46"/>
      <c r="J87" s="222"/>
    </row>
    <row r="88" spans="2:10" ht="15" x14ac:dyDescent="0.25">
      <c r="B88" s="276"/>
      <c r="C88" s="276"/>
      <c r="D88" s="276"/>
      <c r="E88" s="276"/>
      <c r="F88" s="276"/>
      <c r="G88" s="254"/>
      <c r="I88" s="46"/>
      <c r="J88" s="222"/>
    </row>
    <row r="89" spans="2:10" ht="15" x14ac:dyDescent="0.25">
      <c r="B89" s="272"/>
      <c r="C89" s="272"/>
      <c r="D89" s="46"/>
      <c r="E89" s="272"/>
      <c r="F89" s="274"/>
      <c r="G89" s="274"/>
      <c r="I89" s="46"/>
      <c r="J89" s="46"/>
    </row>
    <row r="90" spans="2:10" ht="15" x14ac:dyDescent="0.25">
      <c r="B90" s="272"/>
      <c r="C90" s="272"/>
      <c r="D90" s="21"/>
      <c r="E90" s="273"/>
      <c r="F90" s="274"/>
      <c r="G90" s="274"/>
      <c r="H90" s="21"/>
      <c r="J90" s="21"/>
    </row>
  </sheetData>
  <mergeCells count="20">
    <mergeCell ref="A68:C68"/>
    <mergeCell ref="A3:F3"/>
    <mergeCell ref="A4:F4"/>
    <mergeCell ref="A5:F5"/>
    <mergeCell ref="A6:F6"/>
    <mergeCell ref="A10:C10"/>
    <mergeCell ref="B84:C84"/>
    <mergeCell ref="E84:G84"/>
    <mergeCell ref="I84:J84"/>
    <mergeCell ref="B85:C85"/>
    <mergeCell ref="E85:G85"/>
    <mergeCell ref="I85:J85"/>
    <mergeCell ref="B90:C90"/>
    <mergeCell ref="E90:G90"/>
    <mergeCell ref="I86:J86"/>
    <mergeCell ref="B89:C89"/>
    <mergeCell ref="E89:G89"/>
    <mergeCell ref="B86:F86"/>
    <mergeCell ref="B87:F87"/>
    <mergeCell ref="B88:F88"/>
  </mergeCells>
  <phoneticPr fontId="22" type="noConversion"/>
  <printOptions horizontalCentered="1"/>
  <pageMargins left="0.98425196850393704" right="0.59055118110236227" top="0.59055118110236227" bottom="0.59055118110236227" header="0" footer="0"/>
  <pageSetup scale="90" orientation="portrait" horizontalDpi="4294967292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topLeftCell="A77" workbookViewId="0">
      <selection activeCell="G172" sqref="G172"/>
    </sheetView>
  </sheetViews>
  <sheetFormatPr baseColWidth="10" defaultRowHeight="19.5" customHeight="1" x14ac:dyDescent="0.25"/>
  <cols>
    <col min="7" max="7" width="13" style="249" bestFit="1" customWidth="1"/>
  </cols>
  <sheetData>
    <row r="1" spans="1:8" ht="19.5" customHeight="1" x14ac:dyDescent="0.25">
      <c r="A1" s="287" t="s">
        <v>380</v>
      </c>
      <c r="B1" s="287"/>
      <c r="C1" s="287"/>
      <c r="D1" s="287"/>
      <c r="E1" s="287"/>
      <c r="F1" s="287"/>
      <c r="G1" s="287"/>
      <c r="H1" s="287"/>
    </row>
    <row r="2" spans="1:8" ht="19.5" customHeight="1" x14ac:dyDescent="0.25">
      <c r="A2" s="288" t="s">
        <v>539</v>
      </c>
      <c r="B2" s="288"/>
      <c r="C2" s="288"/>
      <c r="D2" s="288"/>
      <c r="E2" s="288"/>
      <c r="F2" s="288"/>
      <c r="G2" s="288"/>
      <c r="H2" s="288"/>
    </row>
    <row r="3" spans="1:8" ht="19.5" customHeight="1" x14ac:dyDescent="0.3">
      <c r="A3" s="228"/>
      <c r="B3" s="228"/>
      <c r="C3" s="228"/>
      <c r="D3" s="228"/>
      <c r="E3" s="228"/>
      <c r="F3" s="229"/>
      <c r="G3" s="241"/>
      <c r="H3" s="230"/>
    </row>
    <row r="4" spans="1:8" ht="19.5" hidden="1" customHeight="1" x14ac:dyDescent="0.3">
      <c r="A4" s="231" t="s">
        <v>463</v>
      </c>
      <c r="B4" s="228"/>
      <c r="C4" s="228"/>
      <c r="D4" s="228"/>
      <c r="E4" s="228"/>
      <c r="F4" s="229"/>
      <c r="G4" s="242" t="s">
        <v>473</v>
      </c>
      <c r="H4" s="230"/>
    </row>
    <row r="5" spans="1:8" ht="19.5" hidden="1" customHeight="1" x14ac:dyDescent="0.3">
      <c r="A5" s="228"/>
      <c r="B5" s="228"/>
      <c r="C5" s="228"/>
      <c r="D5" s="228"/>
      <c r="E5" s="228"/>
      <c r="F5" s="229"/>
      <c r="G5" s="243" t="s">
        <v>436</v>
      </c>
      <c r="H5" s="230"/>
    </row>
    <row r="6" spans="1:8" ht="19.5" hidden="1" customHeight="1" x14ac:dyDescent="0.3">
      <c r="A6" s="228"/>
      <c r="B6" s="228"/>
      <c r="C6" s="228"/>
      <c r="D6" s="228"/>
      <c r="E6" s="228"/>
      <c r="F6" s="229"/>
      <c r="G6" s="243"/>
      <c r="H6" s="230"/>
    </row>
    <row r="7" spans="1:8" ht="19.5" hidden="1" customHeight="1" x14ac:dyDescent="0.3">
      <c r="A7" s="228" t="s">
        <v>464</v>
      </c>
      <c r="B7" s="228"/>
      <c r="C7" s="228"/>
      <c r="D7" s="228"/>
      <c r="E7" s="228"/>
      <c r="F7" s="229"/>
      <c r="G7" s="241"/>
      <c r="H7" s="230"/>
    </row>
    <row r="8" spans="1:8" ht="19.5" hidden="1" customHeight="1" x14ac:dyDescent="0.3">
      <c r="A8" s="235" t="s">
        <v>461</v>
      </c>
      <c r="B8" s="235"/>
      <c r="C8" s="235"/>
      <c r="D8" s="235"/>
      <c r="E8" s="235"/>
      <c r="F8" s="238"/>
      <c r="G8" s="251">
        <v>0</v>
      </c>
      <c r="H8" s="230"/>
    </row>
    <row r="9" spans="1:8" ht="19.5" hidden="1" customHeight="1" thickBot="1" x14ac:dyDescent="0.35">
      <c r="A9" s="235" t="s">
        <v>462</v>
      </c>
      <c r="B9" s="235"/>
      <c r="C9" s="235"/>
      <c r="D9" s="235"/>
      <c r="E9" s="235"/>
      <c r="F9" s="238"/>
      <c r="G9" s="245">
        <v>0</v>
      </c>
      <c r="H9" s="230"/>
    </row>
    <row r="10" spans="1:8" ht="19.5" hidden="1" customHeight="1" thickBot="1" x14ac:dyDescent="0.35">
      <c r="A10" s="235"/>
      <c r="B10" s="235"/>
      <c r="C10" s="235"/>
      <c r="D10" s="235"/>
      <c r="E10" s="235"/>
      <c r="F10" s="239"/>
      <c r="G10" s="246">
        <f>SUM(G8:G9)</f>
        <v>0</v>
      </c>
      <c r="H10" s="230"/>
    </row>
    <row r="11" spans="1:8" ht="19.5" customHeight="1" x14ac:dyDescent="0.3">
      <c r="A11" s="228"/>
      <c r="B11" s="228"/>
      <c r="C11" s="228"/>
      <c r="D11" s="228"/>
      <c r="E11" s="228"/>
      <c r="F11" s="229"/>
      <c r="G11" s="241"/>
      <c r="H11" s="230"/>
    </row>
    <row r="12" spans="1:8" ht="19.5" customHeight="1" x14ac:dyDescent="0.3">
      <c r="A12" s="231" t="s">
        <v>474</v>
      </c>
      <c r="B12" s="232"/>
      <c r="C12" s="232"/>
      <c r="D12" s="232"/>
      <c r="E12" s="232"/>
      <c r="F12" s="233"/>
      <c r="H12" s="234"/>
    </row>
    <row r="13" spans="1:8" ht="19.5" customHeight="1" x14ac:dyDescent="0.3">
      <c r="A13" s="235"/>
      <c r="B13" s="235"/>
      <c r="C13" s="235"/>
      <c r="D13" s="235"/>
      <c r="E13" s="235"/>
      <c r="F13" s="236"/>
      <c r="H13" s="234"/>
    </row>
    <row r="14" spans="1:8" ht="18.75" hidden="1" x14ac:dyDescent="0.3">
      <c r="A14" s="228" t="s">
        <v>488</v>
      </c>
      <c r="B14" s="235"/>
      <c r="C14" s="235"/>
      <c r="D14" s="235"/>
      <c r="E14" s="235"/>
      <c r="F14" s="237"/>
      <c r="G14" s="244"/>
      <c r="H14" s="234"/>
    </row>
    <row r="15" spans="1:8" ht="18.75" hidden="1" x14ac:dyDescent="0.3">
      <c r="A15" s="235" t="s">
        <v>487</v>
      </c>
      <c r="B15" s="235"/>
      <c r="C15" s="235"/>
      <c r="D15" s="235"/>
      <c r="E15" s="235"/>
      <c r="F15" s="238"/>
      <c r="G15" s="244">
        <v>0</v>
      </c>
      <c r="H15" s="234"/>
    </row>
    <row r="16" spans="1:8" hidden="1" thickBot="1" x14ac:dyDescent="0.35">
      <c r="A16" s="235" t="s">
        <v>524</v>
      </c>
      <c r="B16" s="235"/>
      <c r="C16" s="235"/>
      <c r="D16" s="235"/>
      <c r="E16" s="235"/>
      <c r="F16" s="238"/>
      <c r="G16" s="244">
        <v>0</v>
      </c>
      <c r="H16" s="234"/>
    </row>
    <row r="17" spans="1:8" hidden="1" thickBot="1" x14ac:dyDescent="0.35">
      <c r="A17" s="235" t="s">
        <v>515</v>
      </c>
      <c r="B17" s="235"/>
      <c r="C17" s="235"/>
      <c r="D17" s="235"/>
      <c r="E17" s="235"/>
      <c r="F17" s="238"/>
      <c r="G17" s="245">
        <v>0</v>
      </c>
      <c r="H17" s="234"/>
    </row>
    <row r="18" spans="1:8" hidden="1" thickBot="1" x14ac:dyDescent="0.35">
      <c r="A18" s="235"/>
      <c r="B18" s="235"/>
      <c r="C18" s="235"/>
      <c r="D18" s="235"/>
      <c r="E18" s="235"/>
      <c r="F18" s="239"/>
      <c r="G18" s="246">
        <f>SUM(G15:G17)</f>
        <v>0</v>
      </c>
      <c r="H18" s="234"/>
    </row>
    <row r="19" spans="1:8" ht="18.75" hidden="1" x14ac:dyDescent="0.3">
      <c r="A19" s="235"/>
      <c r="B19" s="235"/>
      <c r="C19" s="235"/>
      <c r="D19" s="235"/>
      <c r="E19" s="235"/>
      <c r="F19" s="239"/>
      <c r="G19" s="247"/>
      <c r="H19" s="234"/>
    </row>
    <row r="20" spans="1:8" ht="19.5" customHeight="1" x14ac:dyDescent="0.3">
      <c r="A20" s="228" t="s">
        <v>440</v>
      </c>
      <c r="B20" s="235"/>
      <c r="C20" s="235"/>
      <c r="D20" s="235"/>
      <c r="E20" s="235"/>
      <c r="F20" s="237"/>
      <c r="G20" s="244"/>
      <c r="H20" s="234"/>
    </row>
    <row r="21" spans="1:8" ht="18.75" x14ac:dyDescent="0.3">
      <c r="A21" s="235" t="s">
        <v>525</v>
      </c>
      <c r="B21" s="235"/>
      <c r="C21" s="235"/>
      <c r="D21" s="235"/>
      <c r="E21" s="235"/>
      <c r="F21" s="238"/>
      <c r="G21" s="251">
        <v>64442</v>
      </c>
      <c r="H21" s="234"/>
    </row>
    <row r="22" spans="1:8" ht="19.5" customHeight="1" thickBot="1" x14ac:dyDescent="0.35">
      <c r="A22" s="235" t="s">
        <v>451</v>
      </c>
      <c r="B22" s="235"/>
      <c r="C22" s="235"/>
      <c r="D22" s="235"/>
      <c r="E22" s="235"/>
      <c r="F22" s="238"/>
      <c r="G22" s="251">
        <v>102506</v>
      </c>
      <c r="H22" s="234"/>
    </row>
    <row r="23" spans="1:8" ht="19.5" hidden="1" customHeight="1" thickBot="1" x14ac:dyDescent="0.35">
      <c r="A23" s="235" t="s">
        <v>476</v>
      </c>
      <c r="B23" s="235"/>
      <c r="C23" s="235"/>
      <c r="D23" s="235"/>
      <c r="E23" s="235"/>
      <c r="F23" s="238"/>
      <c r="G23" s="251">
        <v>0</v>
      </c>
      <c r="H23" s="234"/>
    </row>
    <row r="24" spans="1:8" ht="19.5" customHeight="1" thickBot="1" x14ac:dyDescent="0.35">
      <c r="A24" s="235"/>
      <c r="B24" s="235"/>
      <c r="C24" s="235"/>
      <c r="D24" s="235"/>
      <c r="E24" s="235"/>
      <c r="F24" s="239"/>
      <c r="G24" s="246">
        <f>SUM(G21:G23)</f>
        <v>166948</v>
      </c>
      <c r="H24" s="234"/>
    </row>
    <row r="25" spans="1:8" ht="19.5" customHeight="1" thickTop="1" x14ac:dyDescent="0.3">
      <c r="A25" s="231"/>
      <c r="B25" s="232"/>
      <c r="C25" s="232"/>
      <c r="D25" s="232"/>
      <c r="E25" s="232"/>
      <c r="F25" s="238"/>
      <c r="G25" s="244"/>
      <c r="H25" s="234"/>
    </row>
    <row r="26" spans="1:8" ht="19.5" customHeight="1" x14ac:dyDescent="0.3">
      <c r="A26" s="231" t="s">
        <v>508</v>
      </c>
      <c r="B26" s="232"/>
      <c r="C26" s="232"/>
      <c r="D26" s="232"/>
      <c r="E26" s="232"/>
      <c r="F26" s="238"/>
      <c r="G26" s="244"/>
      <c r="H26" s="234"/>
    </row>
    <row r="27" spans="1:8" ht="19.5" customHeight="1" x14ac:dyDescent="0.3">
      <c r="A27" s="231"/>
      <c r="B27" s="232"/>
      <c r="C27" s="232"/>
      <c r="D27" s="232"/>
      <c r="E27" s="232"/>
      <c r="F27" s="238"/>
      <c r="G27" s="244"/>
      <c r="H27" s="234"/>
    </row>
    <row r="28" spans="1:8" ht="18.75" hidden="1" x14ac:dyDescent="0.3">
      <c r="A28" s="235" t="s">
        <v>531</v>
      </c>
      <c r="B28" s="232"/>
      <c r="C28" s="232"/>
      <c r="D28" s="232"/>
      <c r="E28" s="232"/>
      <c r="F28" s="238"/>
      <c r="G28" s="244">
        <v>0</v>
      </c>
      <c r="H28" s="234"/>
    </row>
    <row r="29" spans="1:8" ht="18.75" hidden="1" x14ac:dyDescent="0.3">
      <c r="A29" s="235" t="s">
        <v>532</v>
      </c>
      <c r="B29" s="232"/>
      <c r="C29" s="232"/>
      <c r="D29" s="232"/>
      <c r="E29" s="232"/>
      <c r="F29" s="238"/>
      <c r="G29" s="244">
        <v>0</v>
      </c>
      <c r="H29" s="234"/>
    </row>
    <row r="30" spans="1:8" ht="19.5" customHeight="1" x14ac:dyDescent="0.3">
      <c r="A30" s="235" t="s">
        <v>510</v>
      </c>
      <c r="B30" s="232"/>
      <c r="C30" s="232"/>
      <c r="D30" s="232"/>
      <c r="E30" s="232"/>
      <c r="F30" s="238"/>
      <c r="G30" s="244">
        <v>300000</v>
      </c>
      <c r="H30" s="234"/>
    </row>
    <row r="31" spans="1:8" ht="18.75" hidden="1" x14ac:dyDescent="0.3">
      <c r="A31" s="235" t="s">
        <v>511</v>
      </c>
      <c r="B31" s="232"/>
      <c r="C31" s="232"/>
      <c r="D31" s="232"/>
      <c r="E31" s="232"/>
      <c r="F31" s="238"/>
      <c r="G31" s="244">
        <v>0</v>
      </c>
      <c r="H31" s="234"/>
    </row>
    <row r="32" spans="1:8" ht="19.5" customHeight="1" x14ac:dyDescent="0.3">
      <c r="A32" s="235" t="s">
        <v>512</v>
      </c>
      <c r="B32" s="232"/>
      <c r="C32" s="232"/>
      <c r="D32" s="232"/>
      <c r="E32" s="232"/>
      <c r="F32" s="238"/>
      <c r="G32" s="244">
        <v>33845</v>
      </c>
      <c r="H32" s="234"/>
    </row>
    <row r="33" spans="1:8" ht="19.5" customHeight="1" x14ac:dyDescent="0.3">
      <c r="A33" s="235" t="s">
        <v>513</v>
      </c>
      <c r="B33" s="232"/>
      <c r="C33" s="232"/>
      <c r="D33" s="232"/>
      <c r="E33" s="232"/>
      <c r="F33" s="238"/>
      <c r="G33" s="244">
        <v>92000</v>
      </c>
      <c r="H33" s="234"/>
    </row>
    <row r="34" spans="1:8" ht="19.5" customHeight="1" thickBot="1" x14ac:dyDescent="0.35">
      <c r="A34" s="235" t="s">
        <v>514</v>
      </c>
      <c r="B34" s="232"/>
      <c r="C34" s="232"/>
      <c r="D34" s="232"/>
      <c r="E34" s="232"/>
      <c r="F34" s="238"/>
      <c r="G34" s="244">
        <v>144695</v>
      </c>
      <c r="H34" s="234"/>
    </row>
    <row r="35" spans="1:8" ht="19.5" hidden="1" customHeight="1" x14ac:dyDescent="0.3">
      <c r="A35" s="235" t="s">
        <v>526</v>
      </c>
      <c r="B35" s="232"/>
      <c r="C35" s="232"/>
      <c r="D35" s="232"/>
      <c r="E35" s="232"/>
      <c r="F35" s="238"/>
      <c r="G35" s="244"/>
      <c r="H35" s="234"/>
    </row>
    <row r="36" spans="1:8" hidden="1" thickBot="1" x14ac:dyDescent="0.35">
      <c r="A36" s="235" t="s">
        <v>517</v>
      </c>
      <c r="B36" s="232"/>
      <c r="C36" s="232"/>
      <c r="D36" s="232"/>
      <c r="E36" s="232"/>
      <c r="F36" s="238"/>
      <c r="G36" s="244">
        <v>0</v>
      </c>
      <c r="H36" s="234"/>
    </row>
    <row r="37" spans="1:8" ht="19.5" customHeight="1" thickBot="1" x14ac:dyDescent="0.35">
      <c r="A37" s="231"/>
      <c r="B37" s="232"/>
      <c r="C37" s="232"/>
      <c r="D37" s="232"/>
      <c r="E37" s="232"/>
      <c r="F37" s="238"/>
      <c r="G37" s="246">
        <f>SUM(G28:G36)</f>
        <v>570540</v>
      </c>
      <c r="H37" s="234"/>
    </row>
    <row r="38" spans="1:8" ht="19.5" customHeight="1" thickTop="1" x14ac:dyDescent="0.3">
      <c r="A38" s="231"/>
      <c r="B38" s="232"/>
      <c r="C38" s="232"/>
      <c r="D38" s="232"/>
      <c r="E38" s="232"/>
      <c r="F38" s="238"/>
      <c r="G38" s="244"/>
      <c r="H38" s="234"/>
    </row>
    <row r="39" spans="1:8" ht="19.5" customHeight="1" x14ac:dyDescent="0.3">
      <c r="A39" s="231" t="s">
        <v>509</v>
      </c>
      <c r="B39" s="232"/>
      <c r="C39" s="232"/>
      <c r="D39" s="232"/>
      <c r="E39" s="232"/>
      <c r="F39" s="238"/>
      <c r="G39" s="244"/>
      <c r="H39" s="234"/>
    </row>
    <row r="40" spans="1:8" ht="19.5" customHeight="1" x14ac:dyDescent="0.3">
      <c r="A40" s="231"/>
      <c r="B40" s="232"/>
      <c r="C40" s="232"/>
      <c r="D40" s="232"/>
      <c r="E40" s="232"/>
      <c r="F40" s="238"/>
      <c r="G40" s="244"/>
      <c r="H40" s="234"/>
    </row>
    <row r="41" spans="1:8" s="240" customFormat="1" ht="19.5" customHeight="1" x14ac:dyDescent="0.3">
      <c r="A41" s="228" t="s">
        <v>425</v>
      </c>
      <c r="B41" s="235"/>
      <c r="C41" s="235"/>
      <c r="D41" s="235"/>
      <c r="E41" s="235"/>
      <c r="F41" s="238"/>
      <c r="G41" s="244"/>
      <c r="H41" s="234"/>
    </row>
    <row r="42" spans="1:8" s="240" customFormat="1" ht="19.5" customHeight="1" x14ac:dyDescent="0.3">
      <c r="A42" s="259" t="s">
        <v>385</v>
      </c>
      <c r="B42" s="249"/>
      <c r="C42" s="260"/>
      <c r="D42" s="260"/>
      <c r="E42" s="260"/>
      <c r="F42" s="238"/>
      <c r="G42" s="248">
        <v>616000</v>
      </c>
      <c r="H42" s="234"/>
    </row>
    <row r="43" spans="1:8" s="240" customFormat="1" ht="19.5" customHeight="1" x14ac:dyDescent="0.3">
      <c r="A43" s="259" t="s">
        <v>391</v>
      </c>
      <c r="B43" s="249"/>
      <c r="C43" s="260"/>
      <c r="D43" s="260"/>
      <c r="E43" s="260"/>
      <c r="F43" s="238"/>
      <c r="G43" s="248">
        <v>616000</v>
      </c>
      <c r="H43" s="234"/>
    </row>
    <row r="44" spans="1:8" s="240" customFormat="1" ht="19.5" customHeight="1" x14ac:dyDescent="0.3">
      <c r="A44" s="259" t="s">
        <v>423</v>
      </c>
      <c r="B44" s="249"/>
      <c r="C44" s="260"/>
      <c r="D44" s="260"/>
      <c r="E44" s="260"/>
      <c r="F44" s="238"/>
      <c r="G44" s="248">
        <v>616000</v>
      </c>
      <c r="H44" s="234"/>
    </row>
    <row r="45" spans="1:8" s="240" customFormat="1" ht="19.5" customHeight="1" x14ac:dyDescent="0.3">
      <c r="A45" s="259" t="s">
        <v>394</v>
      </c>
      <c r="B45" s="249"/>
      <c r="C45" s="260"/>
      <c r="D45" s="260"/>
      <c r="E45" s="260"/>
      <c r="F45" s="238"/>
      <c r="G45" s="248">
        <v>616000</v>
      </c>
      <c r="H45" s="234"/>
    </row>
    <row r="46" spans="1:8" s="240" customFormat="1" ht="19.5" customHeight="1" x14ac:dyDescent="0.3">
      <c r="A46" s="259" t="s">
        <v>396</v>
      </c>
      <c r="B46" s="249"/>
      <c r="C46" s="260"/>
      <c r="D46" s="260"/>
      <c r="E46" s="260"/>
      <c r="F46" s="238"/>
      <c r="G46" s="248">
        <v>616000</v>
      </c>
      <c r="H46" s="234"/>
    </row>
    <row r="47" spans="1:8" s="240" customFormat="1" ht="19.5" customHeight="1" x14ac:dyDescent="0.3">
      <c r="A47" s="259" t="s">
        <v>397</v>
      </c>
      <c r="B47" s="249"/>
      <c r="C47" s="260"/>
      <c r="D47" s="260"/>
      <c r="E47" s="260"/>
      <c r="F47" s="238"/>
      <c r="G47" s="248">
        <v>616000</v>
      </c>
      <c r="H47" s="234"/>
    </row>
    <row r="48" spans="1:8" s="240" customFormat="1" ht="19.5" customHeight="1" x14ac:dyDescent="0.3">
      <c r="A48" s="259" t="s">
        <v>400</v>
      </c>
      <c r="B48" s="249"/>
      <c r="C48" s="260"/>
      <c r="D48" s="260"/>
      <c r="E48" s="260"/>
      <c r="F48" s="238"/>
      <c r="G48" s="248">
        <v>616000</v>
      </c>
      <c r="H48" s="234"/>
    </row>
    <row r="49" spans="1:12" s="240" customFormat="1" ht="19.5" customHeight="1" x14ac:dyDescent="0.3">
      <c r="A49" s="259" t="s">
        <v>401</v>
      </c>
      <c r="B49" s="249"/>
      <c r="C49" s="260"/>
      <c r="D49" s="260"/>
      <c r="E49" s="260"/>
      <c r="F49" s="238"/>
      <c r="G49" s="248">
        <v>616000</v>
      </c>
      <c r="H49" s="234"/>
    </row>
    <row r="50" spans="1:12" s="240" customFormat="1" ht="19.5" customHeight="1" thickBot="1" x14ac:dyDescent="0.35">
      <c r="A50" s="259" t="s">
        <v>404</v>
      </c>
      <c r="B50" s="249"/>
      <c r="C50" s="260"/>
      <c r="D50" s="260"/>
      <c r="E50" s="260"/>
      <c r="F50" s="238"/>
      <c r="G50" s="248">
        <v>616000</v>
      </c>
      <c r="H50" s="234"/>
    </row>
    <row r="51" spans="1:12" ht="19.5" customHeight="1" thickBot="1" x14ac:dyDescent="0.35">
      <c r="A51" s="235"/>
      <c r="B51" s="235"/>
      <c r="C51" s="235"/>
      <c r="D51" s="235"/>
      <c r="E51" s="235"/>
      <c r="F51" s="239"/>
      <c r="G51" s="246">
        <f>SUM(G42:G50)</f>
        <v>5544000</v>
      </c>
      <c r="H51" s="234"/>
      <c r="I51" s="262"/>
      <c r="J51" s="255"/>
      <c r="K51" s="255"/>
      <c r="L51" s="255"/>
    </row>
    <row r="52" spans="1:12" ht="19.5" customHeight="1" thickTop="1" x14ac:dyDescent="0.3">
      <c r="A52" s="235"/>
      <c r="B52" s="235"/>
      <c r="C52" s="235"/>
      <c r="D52" s="235"/>
      <c r="E52" s="235"/>
      <c r="F52" s="238"/>
      <c r="G52" s="250"/>
      <c r="H52" s="234"/>
      <c r="I52" s="262"/>
      <c r="J52" s="255"/>
      <c r="K52" s="255"/>
      <c r="L52" s="255"/>
    </row>
    <row r="53" spans="1:12" ht="19.5" customHeight="1" x14ac:dyDescent="0.3">
      <c r="A53" s="228" t="s">
        <v>426</v>
      </c>
      <c r="B53" s="235"/>
      <c r="C53" s="235"/>
      <c r="D53" s="235"/>
      <c r="E53" s="235"/>
      <c r="F53" s="239"/>
      <c r="G53" s="251"/>
      <c r="H53" s="234"/>
    </row>
    <row r="54" spans="1:12" s="259" customFormat="1" ht="19.5" customHeight="1" x14ac:dyDescent="0.3">
      <c r="A54" s="259" t="s">
        <v>422</v>
      </c>
      <c r="G54" s="248">
        <v>51313</v>
      </c>
      <c r="H54" s="260"/>
    </row>
    <row r="55" spans="1:12" s="259" customFormat="1" ht="19.5" customHeight="1" x14ac:dyDescent="0.3">
      <c r="A55" s="259" t="s">
        <v>465</v>
      </c>
      <c r="G55" s="248">
        <v>410504</v>
      </c>
      <c r="H55" s="260"/>
    </row>
    <row r="56" spans="1:12" s="259" customFormat="1" ht="19.5" customHeight="1" x14ac:dyDescent="0.3">
      <c r="A56" s="259" t="s">
        <v>386</v>
      </c>
      <c r="G56" s="248">
        <v>461817</v>
      </c>
      <c r="H56" s="260"/>
    </row>
    <row r="57" spans="1:12" s="259" customFormat="1" ht="19.5" customHeight="1" x14ac:dyDescent="0.3">
      <c r="A57" s="259" t="s">
        <v>387</v>
      </c>
      <c r="G57" s="248">
        <v>461817</v>
      </c>
      <c r="H57" s="260"/>
    </row>
    <row r="58" spans="1:12" s="259" customFormat="1" ht="19.5" customHeight="1" x14ac:dyDescent="0.3">
      <c r="A58" s="259" t="s">
        <v>388</v>
      </c>
      <c r="G58" s="248">
        <v>615756</v>
      </c>
    </row>
    <row r="59" spans="1:12" s="259" customFormat="1" ht="19.5" customHeight="1" x14ac:dyDescent="0.3">
      <c r="A59" s="259" t="s">
        <v>409</v>
      </c>
      <c r="G59" s="248">
        <v>461817</v>
      </c>
    </row>
    <row r="60" spans="1:12" s="259" customFormat="1" ht="19.5" customHeight="1" x14ac:dyDescent="0.3">
      <c r="A60" s="259" t="s">
        <v>423</v>
      </c>
      <c r="G60" s="248">
        <v>51313</v>
      </c>
    </row>
    <row r="61" spans="1:12" s="259" customFormat="1" ht="19.5" customHeight="1" x14ac:dyDescent="0.3">
      <c r="A61" s="259" t="s">
        <v>392</v>
      </c>
      <c r="G61" s="248">
        <v>461817</v>
      </c>
    </row>
    <row r="62" spans="1:12" s="259" customFormat="1" ht="19.5" customHeight="1" x14ac:dyDescent="0.3">
      <c r="A62" s="259" t="s">
        <v>393</v>
      </c>
      <c r="G62" s="248">
        <v>461817</v>
      </c>
    </row>
    <row r="63" spans="1:12" s="259" customFormat="1" ht="19.5" customHeight="1" x14ac:dyDescent="0.3">
      <c r="A63" s="259" t="s">
        <v>395</v>
      </c>
      <c r="G63" s="248">
        <v>587656</v>
      </c>
    </row>
    <row r="64" spans="1:12" s="259" customFormat="1" ht="19.5" customHeight="1" x14ac:dyDescent="0.3">
      <c r="A64" s="259" t="s">
        <v>411</v>
      </c>
      <c r="G64" s="248">
        <v>252565</v>
      </c>
    </row>
    <row r="65" spans="1:13" s="259" customFormat="1" ht="19.5" customHeight="1" x14ac:dyDescent="0.3">
      <c r="A65" s="259" t="s">
        <v>402</v>
      </c>
      <c r="G65" s="248">
        <v>513130</v>
      </c>
    </row>
    <row r="66" spans="1:13" s="259" customFormat="1" ht="19.5" customHeight="1" x14ac:dyDescent="0.3">
      <c r="A66" s="259" t="s">
        <v>415</v>
      </c>
      <c r="G66" s="248">
        <v>303878</v>
      </c>
    </row>
    <row r="67" spans="1:13" s="259" customFormat="1" ht="19.5" customHeight="1" x14ac:dyDescent="0.3">
      <c r="A67" s="259" t="s">
        <v>403</v>
      </c>
      <c r="G67" s="248">
        <v>611756</v>
      </c>
    </row>
    <row r="68" spans="1:13" s="259" customFormat="1" ht="19.5" customHeight="1" x14ac:dyDescent="0.3">
      <c r="A68" s="259" t="s">
        <v>404</v>
      </c>
      <c r="G68" s="248">
        <v>461817</v>
      </c>
    </row>
    <row r="69" spans="1:13" s="259" customFormat="1" ht="19.5" customHeight="1" x14ac:dyDescent="0.3">
      <c r="A69" s="259" t="s">
        <v>412</v>
      </c>
      <c r="G69" s="248">
        <v>615756</v>
      </c>
    </row>
    <row r="70" spans="1:13" s="259" customFormat="1" ht="19.5" customHeight="1" x14ac:dyDescent="0.3">
      <c r="A70" s="259" t="s">
        <v>405</v>
      </c>
      <c r="G70" s="248">
        <v>615756</v>
      </c>
    </row>
    <row r="71" spans="1:13" s="259" customFormat="1" ht="19.5" customHeight="1" thickBot="1" x14ac:dyDescent="0.35">
      <c r="A71" s="259" t="s">
        <v>406</v>
      </c>
      <c r="G71" s="248">
        <v>461817</v>
      </c>
    </row>
    <row r="72" spans="1:13" ht="19.5" customHeight="1" thickBot="1" x14ac:dyDescent="0.35">
      <c r="G72" s="246">
        <f>SUM(G54:G71)</f>
        <v>7862102</v>
      </c>
      <c r="I72" s="262"/>
      <c r="J72" s="255"/>
      <c r="K72" s="255"/>
      <c r="L72" s="255"/>
      <c r="M72" s="255"/>
    </row>
    <row r="73" spans="1:13" s="255" customFormat="1" ht="19.5" customHeight="1" thickTop="1" x14ac:dyDescent="0.3">
      <c r="G73" s="256"/>
    </row>
    <row r="74" spans="1:13" ht="19.5" customHeight="1" x14ac:dyDescent="0.3">
      <c r="A74" s="228" t="s">
        <v>427</v>
      </c>
    </row>
    <row r="75" spans="1:13" ht="19.5" customHeight="1" x14ac:dyDescent="0.3">
      <c r="A75" s="259" t="s">
        <v>489</v>
      </c>
      <c r="B75" s="259"/>
      <c r="C75" s="259"/>
      <c r="D75" s="259"/>
      <c r="E75" s="259"/>
      <c r="F75" s="259"/>
      <c r="G75" s="248">
        <v>644350</v>
      </c>
    </row>
    <row r="76" spans="1:13" s="259" customFormat="1" ht="19.5" customHeight="1" x14ac:dyDescent="0.3">
      <c r="A76" s="259" t="s">
        <v>466</v>
      </c>
      <c r="G76" s="248">
        <v>644350</v>
      </c>
    </row>
    <row r="77" spans="1:13" s="259" customFormat="1" ht="19.5" customHeight="1" x14ac:dyDescent="0.3">
      <c r="A77" s="259" t="s">
        <v>467</v>
      </c>
      <c r="G77" s="248">
        <v>644350</v>
      </c>
    </row>
    <row r="78" spans="1:13" s="259" customFormat="1" ht="19.5" customHeight="1" x14ac:dyDescent="0.3">
      <c r="A78" s="259" t="s">
        <v>468</v>
      </c>
      <c r="G78" s="248">
        <v>644350</v>
      </c>
    </row>
    <row r="79" spans="1:13" s="259" customFormat="1" ht="19.5" customHeight="1" x14ac:dyDescent="0.3">
      <c r="A79" s="259" t="s">
        <v>469</v>
      </c>
      <c r="G79" s="248">
        <v>644350</v>
      </c>
    </row>
    <row r="80" spans="1:13" s="259" customFormat="1" ht="19.5" customHeight="1" x14ac:dyDescent="0.3">
      <c r="A80" s="259" t="s">
        <v>470</v>
      </c>
      <c r="G80" s="248">
        <v>644350</v>
      </c>
    </row>
    <row r="81" spans="1:12" s="259" customFormat="1" ht="19.5" customHeight="1" x14ac:dyDescent="0.3">
      <c r="A81" s="259" t="s">
        <v>452</v>
      </c>
      <c r="G81" s="248">
        <v>644350</v>
      </c>
    </row>
    <row r="82" spans="1:12" s="259" customFormat="1" ht="19.5" customHeight="1" x14ac:dyDescent="0.3">
      <c r="A82" s="259" t="s">
        <v>471</v>
      </c>
      <c r="G82" s="248">
        <v>644350</v>
      </c>
    </row>
    <row r="83" spans="1:12" s="259" customFormat="1" ht="19.5" customHeight="1" x14ac:dyDescent="0.3">
      <c r="A83" s="259" t="s">
        <v>454</v>
      </c>
      <c r="G83" s="248">
        <v>644350</v>
      </c>
    </row>
    <row r="84" spans="1:12" s="259" customFormat="1" ht="19.5" customHeight="1" thickBot="1" x14ac:dyDescent="0.35">
      <c r="A84" s="259" t="s">
        <v>472</v>
      </c>
      <c r="G84" s="248">
        <v>644350</v>
      </c>
    </row>
    <row r="85" spans="1:12" ht="19.5" customHeight="1" thickBot="1" x14ac:dyDescent="0.35">
      <c r="G85" s="246">
        <f>SUM(G75:G84)</f>
        <v>6443500</v>
      </c>
      <c r="I85" s="262"/>
      <c r="J85" s="255"/>
      <c r="K85" s="255"/>
      <c r="L85" s="255"/>
    </row>
    <row r="86" spans="1:12" ht="19.5" customHeight="1" thickTop="1" x14ac:dyDescent="0.25"/>
    <row r="87" spans="1:12" ht="19.5" customHeight="1" x14ac:dyDescent="0.3">
      <c r="A87" s="228" t="s">
        <v>428</v>
      </c>
      <c r="B87" s="235"/>
      <c r="C87" s="235"/>
      <c r="D87" s="235"/>
      <c r="E87" s="235"/>
      <c r="F87" s="239"/>
      <c r="G87" s="251"/>
    </row>
    <row r="88" spans="1:12" ht="19.5" customHeight="1" x14ac:dyDescent="0.3">
      <c r="A88" s="259" t="s">
        <v>382</v>
      </c>
      <c r="B88" s="259"/>
      <c r="C88" s="259"/>
      <c r="D88" s="259"/>
      <c r="E88" s="259"/>
      <c r="F88" s="259"/>
      <c r="G88" s="248">
        <v>615946</v>
      </c>
    </row>
    <row r="89" spans="1:12" ht="19.5" customHeight="1" x14ac:dyDescent="0.3">
      <c r="A89" s="259" t="s">
        <v>383</v>
      </c>
      <c r="B89" s="259"/>
      <c r="C89" s="259"/>
      <c r="D89" s="259"/>
      <c r="E89" s="259"/>
      <c r="F89" s="259"/>
      <c r="G89" s="248">
        <v>416739</v>
      </c>
    </row>
    <row r="90" spans="1:12" ht="19.5" customHeight="1" x14ac:dyDescent="0.3">
      <c r="A90" s="259" t="s">
        <v>384</v>
      </c>
      <c r="B90" s="259"/>
      <c r="C90" s="259"/>
      <c r="D90" s="259"/>
      <c r="E90" s="259"/>
      <c r="F90" s="259"/>
      <c r="G90" s="248">
        <v>644100</v>
      </c>
    </row>
    <row r="91" spans="1:12" ht="19.5" customHeight="1" x14ac:dyDescent="0.3">
      <c r="A91" s="259" t="s">
        <v>438</v>
      </c>
      <c r="B91" s="259"/>
      <c r="C91" s="259"/>
      <c r="D91" s="259"/>
      <c r="E91" s="259"/>
      <c r="F91" s="259"/>
      <c r="G91" s="248">
        <v>28100</v>
      </c>
    </row>
    <row r="92" spans="1:12" ht="19.5" customHeight="1" x14ac:dyDescent="0.3">
      <c r="A92" s="259" t="s">
        <v>489</v>
      </c>
      <c r="B92" s="259"/>
      <c r="C92" s="259"/>
      <c r="D92" s="259"/>
      <c r="E92" s="259"/>
      <c r="F92" s="259"/>
      <c r="G92" s="248">
        <v>375725</v>
      </c>
    </row>
    <row r="93" spans="1:12" ht="19.5" customHeight="1" x14ac:dyDescent="0.3">
      <c r="A93" s="259" t="s">
        <v>453</v>
      </c>
      <c r="B93" s="259"/>
      <c r="C93" s="259"/>
      <c r="D93" s="259"/>
      <c r="E93" s="259"/>
      <c r="F93" s="259"/>
      <c r="G93" s="248">
        <v>375725</v>
      </c>
    </row>
    <row r="94" spans="1:12" ht="19.5" customHeight="1" x14ac:dyDescent="0.3">
      <c r="A94" s="259" t="s">
        <v>422</v>
      </c>
      <c r="B94" s="259"/>
      <c r="C94" s="259"/>
      <c r="D94" s="259"/>
      <c r="E94" s="259"/>
      <c r="F94" s="259"/>
      <c r="G94" s="248">
        <v>644100</v>
      </c>
    </row>
    <row r="95" spans="1:12" ht="19.5" customHeight="1" x14ac:dyDescent="0.3">
      <c r="A95" s="259" t="s">
        <v>385</v>
      </c>
      <c r="B95" s="259"/>
      <c r="C95" s="259"/>
      <c r="D95" s="259"/>
      <c r="E95" s="259"/>
      <c r="F95" s="259"/>
      <c r="G95" s="248">
        <v>375725</v>
      </c>
    </row>
    <row r="96" spans="1:12" ht="19.5" customHeight="1" x14ac:dyDescent="0.3">
      <c r="A96" s="259" t="s">
        <v>465</v>
      </c>
      <c r="B96" s="259"/>
      <c r="C96" s="259"/>
      <c r="D96" s="259"/>
      <c r="E96" s="259"/>
      <c r="F96" s="259"/>
      <c r="G96" s="248">
        <v>644100</v>
      </c>
    </row>
    <row r="97" spans="1:7" ht="19.5" customHeight="1" x14ac:dyDescent="0.3">
      <c r="A97" s="259" t="s">
        <v>386</v>
      </c>
      <c r="B97" s="259"/>
      <c r="C97" s="259"/>
      <c r="D97" s="259"/>
      <c r="E97" s="259"/>
      <c r="F97" s="259"/>
      <c r="G97" s="248">
        <v>644100</v>
      </c>
    </row>
    <row r="98" spans="1:7" ht="19.5" customHeight="1" x14ac:dyDescent="0.3">
      <c r="A98" s="259" t="s">
        <v>387</v>
      </c>
      <c r="B98" s="259"/>
      <c r="C98" s="259"/>
      <c r="D98" s="259"/>
      <c r="E98" s="259"/>
      <c r="F98" s="259"/>
      <c r="G98" s="248">
        <v>644100</v>
      </c>
    </row>
    <row r="99" spans="1:7" ht="19.5" customHeight="1" x14ac:dyDescent="0.3">
      <c r="A99" s="259" t="s">
        <v>388</v>
      </c>
      <c r="B99" s="259"/>
      <c r="C99" s="259"/>
      <c r="D99" s="259"/>
      <c r="E99" s="259"/>
      <c r="F99" s="259"/>
      <c r="G99" s="248">
        <v>644100</v>
      </c>
    </row>
    <row r="100" spans="1:7" ht="19.5" customHeight="1" x14ac:dyDescent="0.3">
      <c r="A100" s="259" t="s">
        <v>389</v>
      </c>
      <c r="B100" s="259"/>
      <c r="C100" s="259"/>
      <c r="D100" s="259"/>
      <c r="E100" s="259"/>
      <c r="F100" s="259"/>
      <c r="G100" s="248">
        <v>644100</v>
      </c>
    </row>
    <row r="101" spans="1:7" ht="19.5" customHeight="1" x14ac:dyDescent="0.3">
      <c r="A101" s="259" t="s">
        <v>466</v>
      </c>
      <c r="B101" s="259"/>
      <c r="C101" s="259"/>
      <c r="D101" s="259"/>
      <c r="E101" s="259"/>
      <c r="F101" s="259"/>
      <c r="G101" s="248">
        <v>161025</v>
      </c>
    </row>
    <row r="102" spans="1:7" ht="19.5" customHeight="1" x14ac:dyDescent="0.3">
      <c r="A102" s="259" t="s">
        <v>409</v>
      </c>
      <c r="B102" s="259"/>
      <c r="C102" s="259"/>
      <c r="D102" s="259"/>
      <c r="E102" s="259"/>
      <c r="F102" s="259"/>
      <c r="G102" s="248">
        <v>644100</v>
      </c>
    </row>
    <row r="103" spans="1:7" ht="19.5" customHeight="1" x14ac:dyDescent="0.3">
      <c r="A103" s="259" t="s">
        <v>467</v>
      </c>
      <c r="B103" s="259"/>
      <c r="C103" s="259"/>
      <c r="D103" s="259"/>
      <c r="E103" s="259"/>
      <c r="F103" s="259"/>
      <c r="G103" s="248">
        <v>161025</v>
      </c>
    </row>
    <row r="104" spans="1:7" ht="19.5" customHeight="1" x14ac:dyDescent="0.3">
      <c r="A104" s="259" t="s">
        <v>443</v>
      </c>
      <c r="B104" s="259"/>
      <c r="C104" s="259"/>
      <c r="D104" s="259"/>
      <c r="E104" s="259"/>
      <c r="F104" s="259"/>
      <c r="G104" s="248">
        <v>375725</v>
      </c>
    </row>
    <row r="105" spans="1:7" ht="19.5" customHeight="1" x14ac:dyDescent="0.3">
      <c r="A105" s="259" t="s">
        <v>444</v>
      </c>
      <c r="B105" s="259"/>
      <c r="C105" s="259"/>
      <c r="D105" s="259"/>
      <c r="E105" s="259"/>
      <c r="F105" s="259"/>
      <c r="G105" s="248">
        <v>375725</v>
      </c>
    </row>
    <row r="106" spans="1:7" ht="19.5" customHeight="1" x14ac:dyDescent="0.3">
      <c r="A106" s="259" t="s">
        <v>391</v>
      </c>
      <c r="B106" s="259"/>
      <c r="C106" s="259"/>
      <c r="D106" s="259"/>
      <c r="E106" s="259"/>
      <c r="F106" s="259"/>
      <c r="G106" s="248">
        <v>375725</v>
      </c>
    </row>
    <row r="107" spans="1:7" ht="19.5" customHeight="1" x14ac:dyDescent="0.3">
      <c r="A107" s="259" t="s">
        <v>445</v>
      </c>
      <c r="B107" s="259"/>
      <c r="C107" s="259"/>
      <c r="D107" s="259"/>
      <c r="E107" s="259"/>
      <c r="F107" s="259"/>
      <c r="G107" s="248">
        <v>375725</v>
      </c>
    </row>
    <row r="108" spans="1:7" ht="19.5" customHeight="1" x14ac:dyDescent="0.3">
      <c r="A108" s="259" t="s">
        <v>446</v>
      </c>
      <c r="B108" s="259"/>
      <c r="C108" s="259"/>
      <c r="D108" s="259"/>
      <c r="E108" s="259"/>
      <c r="F108" s="259"/>
      <c r="G108" s="248">
        <v>375725</v>
      </c>
    </row>
    <row r="109" spans="1:7" ht="19.5" customHeight="1" x14ac:dyDescent="0.3">
      <c r="A109" s="259" t="s">
        <v>447</v>
      </c>
      <c r="B109" s="259"/>
      <c r="C109" s="259"/>
      <c r="D109" s="259"/>
      <c r="E109" s="259"/>
      <c r="F109" s="259"/>
      <c r="G109" s="248">
        <v>375725</v>
      </c>
    </row>
    <row r="110" spans="1:7" ht="19.5" customHeight="1" x14ac:dyDescent="0.3">
      <c r="A110" s="259" t="s">
        <v>468</v>
      </c>
      <c r="B110" s="259"/>
      <c r="C110" s="259"/>
      <c r="D110" s="259"/>
      <c r="E110" s="259"/>
      <c r="F110" s="259"/>
      <c r="G110" s="248">
        <v>161025</v>
      </c>
    </row>
    <row r="111" spans="1:7" ht="19.5" customHeight="1" x14ac:dyDescent="0.3">
      <c r="A111" s="259" t="s">
        <v>423</v>
      </c>
      <c r="B111" s="259"/>
      <c r="C111" s="259"/>
      <c r="D111" s="259"/>
      <c r="E111" s="259"/>
      <c r="F111" s="259"/>
      <c r="G111" s="248">
        <v>644100</v>
      </c>
    </row>
    <row r="112" spans="1:7" ht="19.5" customHeight="1" x14ac:dyDescent="0.3">
      <c r="A112" s="259" t="s">
        <v>392</v>
      </c>
      <c r="B112" s="259"/>
      <c r="C112" s="259"/>
      <c r="D112" s="259"/>
      <c r="E112" s="259"/>
      <c r="F112" s="259"/>
      <c r="G112" s="248">
        <v>644100</v>
      </c>
    </row>
    <row r="113" spans="1:7" ht="19.5" customHeight="1" x14ac:dyDescent="0.3">
      <c r="A113" s="259" t="s">
        <v>424</v>
      </c>
      <c r="B113" s="259"/>
      <c r="C113" s="259"/>
      <c r="D113" s="259"/>
      <c r="E113" s="259"/>
      <c r="F113" s="259"/>
      <c r="G113" s="248">
        <v>111413</v>
      </c>
    </row>
    <row r="114" spans="1:7" ht="19.5" customHeight="1" x14ac:dyDescent="0.3">
      <c r="A114" s="259" t="s">
        <v>393</v>
      </c>
      <c r="B114" s="259"/>
      <c r="C114" s="259"/>
      <c r="D114" s="259"/>
      <c r="E114" s="259"/>
      <c r="F114" s="259"/>
      <c r="G114" s="248">
        <v>644100</v>
      </c>
    </row>
    <row r="115" spans="1:7" ht="19.5" customHeight="1" x14ac:dyDescent="0.3">
      <c r="A115" s="259" t="s">
        <v>394</v>
      </c>
      <c r="B115" s="259"/>
      <c r="C115" s="259"/>
      <c r="D115" s="259"/>
      <c r="E115" s="259"/>
      <c r="F115" s="259"/>
      <c r="G115" s="248">
        <v>375725</v>
      </c>
    </row>
    <row r="116" spans="1:7" ht="19.5" customHeight="1" x14ac:dyDescent="0.3">
      <c r="A116" s="259" t="s">
        <v>469</v>
      </c>
      <c r="B116" s="259"/>
      <c r="C116" s="259"/>
      <c r="D116" s="259"/>
      <c r="E116" s="259"/>
      <c r="F116" s="259"/>
      <c r="G116" s="248">
        <v>161025</v>
      </c>
    </row>
    <row r="117" spans="1:7" ht="19.5" customHeight="1" x14ac:dyDescent="0.3">
      <c r="A117" s="259" t="s">
        <v>395</v>
      </c>
      <c r="B117" s="259"/>
      <c r="C117" s="259"/>
      <c r="D117" s="259"/>
      <c r="E117" s="259"/>
      <c r="F117" s="259"/>
      <c r="G117" s="248">
        <v>644100</v>
      </c>
    </row>
    <row r="118" spans="1:7" ht="19.5" customHeight="1" x14ac:dyDescent="0.3">
      <c r="A118" s="259" t="s">
        <v>396</v>
      </c>
      <c r="B118" s="259"/>
      <c r="C118" s="259"/>
      <c r="D118" s="259"/>
      <c r="E118" s="259"/>
      <c r="F118" s="259"/>
      <c r="G118" s="248">
        <v>375725</v>
      </c>
    </row>
    <row r="119" spans="1:7" ht="19.5" customHeight="1" x14ac:dyDescent="0.3">
      <c r="A119" s="259" t="s">
        <v>410</v>
      </c>
      <c r="B119" s="259"/>
      <c r="C119" s="259"/>
      <c r="D119" s="259"/>
      <c r="E119" s="259"/>
      <c r="F119" s="259"/>
      <c r="G119" s="248">
        <v>644100</v>
      </c>
    </row>
    <row r="120" spans="1:7" ht="19.5" customHeight="1" x14ac:dyDescent="0.3">
      <c r="A120" s="259" t="s">
        <v>397</v>
      </c>
      <c r="B120" s="259"/>
      <c r="C120" s="259"/>
      <c r="D120" s="259"/>
      <c r="E120" s="259"/>
      <c r="F120" s="259"/>
      <c r="G120" s="248">
        <v>375725</v>
      </c>
    </row>
    <row r="121" spans="1:7" ht="19.5" customHeight="1" x14ac:dyDescent="0.3">
      <c r="A121" s="259" t="s">
        <v>398</v>
      </c>
      <c r="B121" s="259"/>
      <c r="C121" s="259"/>
      <c r="D121" s="259"/>
      <c r="E121" s="259"/>
      <c r="F121" s="259"/>
      <c r="G121" s="248">
        <v>644100</v>
      </c>
    </row>
    <row r="122" spans="1:7" ht="19.5" customHeight="1" x14ac:dyDescent="0.3">
      <c r="A122" s="259" t="s">
        <v>399</v>
      </c>
      <c r="B122" s="259"/>
      <c r="C122" s="259"/>
      <c r="D122" s="259"/>
      <c r="E122" s="259"/>
      <c r="F122" s="259"/>
      <c r="G122" s="248">
        <v>644100</v>
      </c>
    </row>
    <row r="123" spans="1:7" ht="19.5" customHeight="1" x14ac:dyDescent="0.3">
      <c r="A123" s="259" t="s">
        <v>400</v>
      </c>
      <c r="B123" s="259"/>
      <c r="C123" s="259"/>
      <c r="D123" s="259"/>
      <c r="E123" s="259"/>
      <c r="F123" s="259"/>
      <c r="G123" s="248">
        <v>375725</v>
      </c>
    </row>
    <row r="124" spans="1:7" ht="19.5" customHeight="1" x14ac:dyDescent="0.3">
      <c r="A124" s="259" t="s">
        <v>401</v>
      </c>
      <c r="B124" s="259"/>
      <c r="C124" s="259"/>
      <c r="D124" s="259"/>
      <c r="E124" s="259"/>
      <c r="F124" s="259"/>
      <c r="G124" s="248">
        <v>375725</v>
      </c>
    </row>
    <row r="125" spans="1:7" ht="19.5" customHeight="1" x14ac:dyDescent="0.3">
      <c r="A125" s="259" t="s">
        <v>402</v>
      </c>
      <c r="B125" s="259"/>
      <c r="C125" s="259"/>
      <c r="D125" s="259"/>
      <c r="E125" s="259"/>
      <c r="F125" s="259"/>
      <c r="G125" s="248">
        <v>644100</v>
      </c>
    </row>
    <row r="126" spans="1:7" ht="19.5" customHeight="1" x14ac:dyDescent="0.3">
      <c r="A126" s="259" t="s">
        <v>415</v>
      </c>
      <c r="B126" s="259"/>
      <c r="C126" s="259"/>
      <c r="D126" s="259"/>
      <c r="E126" s="259"/>
      <c r="F126" s="259"/>
      <c r="G126" s="248">
        <v>644100</v>
      </c>
    </row>
    <row r="127" spans="1:7" ht="19.5" customHeight="1" x14ac:dyDescent="0.3">
      <c r="A127" s="259" t="s">
        <v>470</v>
      </c>
      <c r="B127" s="259"/>
      <c r="C127" s="259"/>
      <c r="D127" s="259"/>
      <c r="E127" s="259"/>
      <c r="F127" s="259"/>
      <c r="G127" s="248">
        <v>161025</v>
      </c>
    </row>
    <row r="128" spans="1:7" ht="19.5" customHeight="1" x14ac:dyDescent="0.3">
      <c r="A128" s="259" t="s">
        <v>403</v>
      </c>
      <c r="B128" s="259"/>
      <c r="C128" s="259"/>
      <c r="D128" s="259"/>
      <c r="E128" s="259"/>
      <c r="F128" s="259"/>
      <c r="G128" s="248">
        <v>644100</v>
      </c>
    </row>
    <row r="129" spans="1:12" ht="19.5" customHeight="1" x14ac:dyDescent="0.3">
      <c r="A129" s="259" t="s">
        <v>452</v>
      </c>
      <c r="B129" s="259"/>
      <c r="C129" s="259"/>
      <c r="D129" s="259"/>
      <c r="E129" s="259"/>
      <c r="F129" s="259"/>
      <c r="G129" s="248">
        <v>375725</v>
      </c>
    </row>
    <row r="130" spans="1:12" ht="19.5" customHeight="1" x14ac:dyDescent="0.3">
      <c r="A130" s="259" t="s">
        <v>404</v>
      </c>
      <c r="B130" s="259"/>
      <c r="C130" s="259"/>
      <c r="D130" s="259"/>
      <c r="E130" s="259"/>
      <c r="F130" s="259"/>
      <c r="G130" s="248">
        <v>644100</v>
      </c>
    </row>
    <row r="131" spans="1:12" ht="19.5" customHeight="1" x14ac:dyDescent="0.3">
      <c r="A131" s="259" t="s">
        <v>448</v>
      </c>
      <c r="B131" s="259"/>
      <c r="C131" s="259"/>
      <c r="D131" s="259"/>
      <c r="E131" s="259"/>
      <c r="F131" s="259"/>
      <c r="G131" s="248">
        <v>375725</v>
      </c>
    </row>
    <row r="132" spans="1:12" ht="19.5" customHeight="1" x14ac:dyDescent="0.3">
      <c r="A132" s="259" t="s">
        <v>471</v>
      </c>
      <c r="B132" s="259"/>
      <c r="C132" s="259"/>
      <c r="D132" s="259"/>
      <c r="E132" s="259"/>
      <c r="F132" s="259"/>
      <c r="G132" s="248">
        <v>161025</v>
      </c>
    </row>
    <row r="133" spans="1:12" ht="19.5" customHeight="1" x14ac:dyDescent="0.3">
      <c r="A133" s="259" t="s">
        <v>412</v>
      </c>
      <c r="B133" s="259"/>
      <c r="C133" s="259"/>
      <c r="D133" s="259"/>
      <c r="E133" s="259"/>
      <c r="F133" s="259"/>
      <c r="G133" s="248">
        <v>644100</v>
      </c>
    </row>
    <row r="134" spans="1:12" ht="19.5" customHeight="1" x14ac:dyDescent="0.3">
      <c r="A134" s="259" t="s">
        <v>449</v>
      </c>
      <c r="B134" s="259"/>
      <c r="C134" s="259"/>
      <c r="D134" s="259"/>
      <c r="E134" s="259"/>
      <c r="F134" s="259"/>
      <c r="G134" s="248">
        <v>375725</v>
      </c>
    </row>
    <row r="135" spans="1:12" ht="19.5" customHeight="1" x14ac:dyDescent="0.3">
      <c r="A135" s="259" t="s">
        <v>429</v>
      </c>
      <c r="B135" s="259"/>
      <c r="C135" s="259"/>
      <c r="D135" s="259"/>
      <c r="E135" s="259"/>
      <c r="F135" s="259"/>
      <c r="G135" s="248">
        <v>644100</v>
      </c>
    </row>
    <row r="136" spans="1:12" ht="19.5" customHeight="1" x14ac:dyDescent="0.3">
      <c r="A136" s="259" t="s">
        <v>454</v>
      </c>
      <c r="B136" s="259"/>
      <c r="C136" s="259"/>
      <c r="D136" s="259"/>
      <c r="E136" s="259"/>
      <c r="F136" s="259"/>
      <c r="G136" s="248">
        <v>375725</v>
      </c>
    </row>
    <row r="137" spans="1:12" ht="19.5" customHeight="1" x14ac:dyDescent="0.3">
      <c r="A137" s="259" t="s">
        <v>405</v>
      </c>
      <c r="B137" s="259"/>
      <c r="C137" s="259"/>
      <c r="D137" s="259"/>
      <c r="E137" s="259"/>
      <c r="F137" s="259"/>
      <c r="G137" s="248">
        <v>644100</v>
      </c>
    </row>
    <row r="138" spans="1:12" ht="19.5" customHeight="1" x14ac:dyDescent="0.3">
      <c r="A138" s="259" t="s">
        <v>472</v>
      </c>
      <c r="B138" s="259"/>
      <c r="C138" s="259"/>
      <c r="D138" s="259"/>
      <c r="E138" s="259"/>
      <c r="F138" s="259"/>
      <c r="G138" s="248">
        <v>161025</v>
      </c>
    </row>
    <row r="139" spans="1:12" ht="19.5" customHeight="1" x14ac:dyDescent="0.3">
      <c r="A139" s="259" t="s">
        <v>406</v>
      </c>
      <c r="B139" s="259"/>
      <c r="C139" s="259"/>
      <c r="D139" s="259"/>
      <c r="E139" s="259"/>
      <c r="F139" s="259"/>
      <c r="G139" s="248">
        <v>644100</v>
      </c>
    </row>
    <row r="140" spans="1:12" ht="19.5" customHeight="1" thickBot="1" x14ac:dyDescent="0.35">
      <c r="A140" s="259" t="s">
        <v>407</v>
      </c>
      <c r="B140" s="259"/>
      <c r="C140" s="259"/>
      <c r="D140" s="259"/>
      <c r="E140" s="259"/>
      <c r="F140" s="259"/>
      <c r="G140" s="248">
        <v>644100</v>
      </c>
    </row>
    <row r="141" spans="1:12" ht="19.5" customHeight="1" thickBot="1" x14ac:dyDescent="0.35">
      <c r="G141" s="246">
        <f>SUM(G88:G140)</f>
        <v>24520823</v>
      </c>
      <c r="I141" s="262"/>
      <c r="J141" s="255"/>
      <c r="K141" s="255"/>
      <c r="L141" s="255"/>
    </row>
    <row r="142" spans="1:12" ht="19.5" customHeight="1" thickTop="1" x14ac:dyDescent="0.25">
      <c r="I142" s="262"/>
      <c r="J142" s="255"/>
      <c r="K142" s="255"/>
      <c r="L142" s="255"/>
    </row>
    <row r="143" spans="1:12" ht="19.5" customHeight="1" x14ac:dyDescent="0.25">
      <c r="I143" s="262"/>
      <c r="J143" s="255"/>
      <c r="K143" s="255"/>
      <c r="L143" s="255"/>
    </row>
    <row r="144" spans="1:12" ht="19.5" hidden="1" customHeight="1" x14ac:dyDescent="0.3">
      <c r="A144" s="228" t="s">
        <v>529</v>
      </c>
      <c r="I144" s="262"/>
      <c r="J144" s="255"/>
      <c r="K144" s="255"/>
      <c r="L144" s="255"/>
    </row>
    <row r="145" spans="1:12" ht="19.5" hidden="1" customHeight="1" thickBot="1" x14ac:dyDescent="0.35">
      <c r="A145" s="259" t="s">
        <v>530</v>
      </c>
      <c r="B145" s="259"/>
      <c r="C145" s="259"/>
      <c r="D145" s="259"/>
      <c r="E145" s="259"/>
      <c r="F145" s="259"/>
      <c r="G145" s="248">
        <v>0</v>
      </c>
      <c r="I145" s="262"/>
      <c r="J145" s="255"/>
      <c r="K145" s="255"/>
      <c r="L145" s="255"/>
    </row>
    <row r="146" spans="1:12" ht="19.5" hidden="1" customHeight="1" thickBot="1" x14ac:dyDescent="0.35">
      <c r="G146" s="246">
        <f>G145</f>
        <v>0</v>
      </c>
      <c r="I146" s="262"/>
      <c r="J146" s="255"/>
      <c r="K146" s="255"/>
      <c r="L146" s="255"/>
    </row>
    <row r="147" spans="1:12" ht="19.5" hidden="1" customHeight="1" thickTop="1" x14ac:dyDescent="0.25">
      <c r="I147" s="262"/>
      <c r="J147" s="255"/>
      <c r="K147" s="255"/>
      <c r="L147" s="255"/>
    </row>
    <row r="148" spans="1:12" ht="19.5" hidden="1" customHeight="1" x14ac:dyDescent="0.25">
      <c r="I148" s="262"/>
      <c r="J148" s="255"/>
      <c r="K148" s="255"/>
      <c r="L148" s="255"/>
    </row>
    <row r="149" spans="1:12" ht="19.5" customHeight="1" x14ac:dyDescent="0.3">
      <c r="A149" s="228" t="s">
        <v>491</v>
      </c>
      <c r="I149" s="262"/>
      <c r="J149" s="255"/>
      <c r="K149" s="255"/>
      <c r="L149" s="255"/>
    </row>
    <row r="150" spans="1:12" ht="19.5" customHeight="1" x14ac:dyDescent="0.3">
      <c r="A150" s="259" t="s">
        <v>381</v>
      </c>
      <c r="B150" s="259"/>
      <c r="C150" s="259"/>
      <c r="D150" s="259"/>
      <c r="E150" s="259"/>
      <c r="F150" s="259"/>
      <c r="G150" s="248">
        <v>95095</v>
      </c>
      <c r="I150" s="262"/>
      <c r="J150" s="255"/>
      <c r="K150" s="255"/>
      <c r="L150" s="255"/>
    </row>
    <row r="151" spans="1:12" ht="19.5" customHeight="1" x14ac:dyDescent="0.3">
      <c r="A151" s="259" t="s">
        <v>480</v>
      </c>
      <c r="B151" s="259"/>
      <c r="C151" s="259"/>
      <c r="D151" s="259"/>
      <c r="E151" s="259"/>
      <c r="F151" s="259"/>
      <c r="G151" s="248">
        <v>57368</v>
      </c>
      <c r="I151" s="262"/>
      <c r="J151" s="255"/>
      <c r="K151" s="255"/>
      <c r="L151" s="255"/>
    </row>
    <row r="152" spans="1:12" ht="19.5" customHeight="1" x14ac:dyDescent="0.3">
      <c r="A152" s="259" t="s">
        <v>528</v>
      </c>
      <c r="B152" s="259"/>
      <c r="C152" s="259"/>
      <c r="D152" s="259"/>
      <c r="E152" s="259"/>
      <c r="F152" s="259"/>
      <c r="G152" s="248">
        <v>10</v>
      </c>
      <c r="I152" s="262"/>
      <c r="J152" s="255"/>
      <c r="K152" s="255"/>
      <c r="L152" s="255"/>
    </row>
    <row r="153" spans="1:12" ht="19.5" customHeight="1" x14ac:dyDescent="0.3">
      <c r="A153" s="259" t="s">
        <v>382</v>
      </c>
      <c r="B153" s="259"/>
      <c r="C153" s="259"/>
      <c r="D153" s="259"/>
      <c r="E153" s="259"/>
      <c r="F153" s="259"/>
      <c r="G153" s="248">
        <v>689178</v>
      </c>
      <c r="I153" s="262"/>
      <c r="J153" s="255"/>
      <c r="K153" s="255"/>
      <c r="L153" s="255"/>
    </row>
    <row r="154" spans="1:12" ht="19.5" customHeight="1" x14ac:dyDescent="0.3">
      <c r="A154" s="259" t="s">
        <v>492</v>
      </c>
      <c r="B154" s="259"/>
      <c r="C154" s="259"/>
      <c r="D154" s="259"/>
      <c r="E154" s="259"/>
      <c r="F154" s="259"/>
      <c r="G154" s="248">
        <v>689178</v>
      </c>
      <c r="I154" s="262"/>
      <c r="J154" s="255"/>
      <c r="K154" s="255"/>
      <c r="L154" s="255"/>
    </row>
    <row r="155" spans="1:12" ht="19.5" customHeight="1" x14ac:dyDescent="0.3">
      <c r="A155" s="259" t="s">
        <v>383</v>
      </c>
      <c r="B155" s="259"/>
      <c r="C155" s="259"/>
      <c r="D155" s="259"/>
      <c r="E155" s="259"/>
      <c r="F155" s="259"/>
      <c r="G155" s="248">
        <v>689178</v>
      </c>
      <c r="I155" s="262"/>
      <c r="J155" s="255"/>
      <c r="K155" s="255"/>
      <c r="L155" s="255"/>
    </row>
    <row r="156" spans="1:12" ht="19.5" customHeight="1" x14ac:dyDescent="0.3">
      <c r="A156" s="259" t="s">
        <v>384</v>
      </c>
      <c r="B156" s="259"/>
      <c r="C156" s="259"/>
      <c r="D156" s="259"/>
      <c r="E156" s="259"/>
      <c r="F156" s="259"/>
      <c r="G156" s="248">
        <v>689178</v>
      </c>
      <c r="I156" s="262"/>
      <c r="J156" s="255"/>
      <c r="K156" s="255"/>
      <c r="L156" s="255"/>
    </row>
    <row r="157" spans="1:12" ht="19.5" customHeight="1" x14ac:dyDescent="0.3">
      <c r="A157" s="259" t="s">
        <v>493</v>
      </c>
      <c r="B157" s="259"/>
      <c r="C157" s="259"/>
      <c r="D157" s="259"/>
      <c r="E157" s="259"/>
      <c r="F157" s="259"/>
      <c r="G157" s="248">
        <v>689178</v>
      </c>
      <c r="I157" s="262"/>
      <c r="J157" s="255"/>
      <c r="K157" s="255"/>
      <c r="L157" s="255"/>
    </row>
    <row r="158" spans="1:12" ht="19.5" customHeight="1" x14ac:dyDescent="0.3">
      <c r="A158" s="259" t="s">
        <v>489</v>
      </c>
      <c r="B158" s="259"/>
      <c r="C158" s="259"/>
      <c r="D158" s="259"/>
      <c r="E158" s="259"/>
      <c r="F158" s="259"/>
      <c r="G158" s="248">
        <v>689178</v>
      </c>
      <c r="I158" s="262"/>
      <c r="J158" s="255"/>
      <c r="K158" s="255"/>
      <c r="L158" s="255"/>
    </row>
    <row r="159" spans="1:12" ht="19.5" customHeight="1" x14ac:dyDescent="0.3">
      <c r="A159" s="259" t="s">
        <v>453</v>
      </c>
      <c r="B159" s="259"/>
      <c r="C159" s="259"/>
      <c r="D159" s="259"/>
      <c r="E159" s="259"/>
      <c r="F159" s="259"/>
      <c r="G159" s="248">
        <v>689178</v>
      </c>
      <c r="I159" s="262"/>
      <c r="J159" s="255"/>
      <c r="K159" s="255"/>
      <c r="L159" s="255"/>
    </row>
    <row r="160" spans="1:12" ht="19.5" customHeight="1" x14ac:dyDescent="0.3">
      <c r="A160" s="259" t="s">
        <v>385</v>
      </c>
      <c r="B160" s="259"/>
      <c r="C160" s="259"/>
      <c r="D160" s="259"/>
      <c r="E160" s="259"/>
      <c r="F160" s="259"/>
      <c r="G160" s="248">
        <v>689178</v>
      </c>
      <c r="I160" s="262"/>
      <c r="J160" s="255"/>
      <c r="K160" s="255"/>
      <c r="L160" s="255"/>
    </row>
    <row r="161" spans="1:12" ht="19.5" customHeight="1" x14ac:dyDescent="0.3">
      <c r="A161" s="259" t="s">
        <v>465</v>
      </c>
      <c r="B161" s="259"/>
      <c r="C161" s="259"/>
      <c r="D161" s="259"/>
      <c r="E161" s="259"/>
      <c r="F161" s="259"/>
      <c r="G161" s="248">
        <v>689178</v>
      </c>
      <c r="I161" s="262"/>
      <c r="J161" s="255"/>
      <c r="K161" s="255"/>
      <c r="L161" s="255"/>
    </row>
    <row r="162" spans="1:12" ht="19.5" customHeight="1" x14ac:dyDescent="0.3">
      <c r="A162" s="259" t="s">
        <v>386</v>
      </c>
      <c r="B162" s="259"/>
      <c r="C162" s="259"/>
      <c r="D162" s="259"/>
      <c r="E162" s="259"/>
      <c r="F162" s="259"/>
      <c r="G162" s="248">
        <v>689178</v>
      </c>
      <c r="I162" s="262"/>
      <c r="J162" s="255"/>
      <c r="K162" s="255"/>
      <c r="L162" s="255"/>
    </row>
    <row r="163" spans="1:12" ht="19.5" customHeight="1" x14ac:dyDescent="0.3">
      <c r="A163" s="259" t="s">
        <v>387</v>
      </c>
      <c r="B163" s="259"/>
      <c r="C163" s="259"/>
      <c r="D163" s="259"/>
      <c r="E163" s="259"/>
      <c r="F163" s="259"/>
      <c r="G163" s="248">
        <v>689178</v>
      </c>
      <c r="I163" s="262"/>
      <c r="J163" s="255"/>
      <c r="K163" s="255"/>
      <c r="L163" s="255"/>
    </row>
    <row r="164" spans="1:12" ht="19.5" customHeight="1" x14ac:dyDescent="0.3">
      <c r="A164" s="259" t="s">
        <v>494</v>
      </c>
      <c r="B164" s="259"/>
      <c r="C164" s="259"/>
      <c r="D164" s="259"/>
      <c r="E164" s="259"/>
      <c r="F164" s="259"/>
      <c r="G164" s="248">
        <v>689178</v>
      </c>
      <c r="I164" s="262"/>
      <c r="J164" s="255"/>
      <c r="K164" s="255"/>
      <c r="L164" s="255"/>
    </row>
    <row r="165" spans="1:12" ht="19.5" customHeight="1" x14ac:dyDescent="0.3">
      <c r="A165" s="259" t="s">
        <v>495</v>
      </c>
      <c r="B165" s="259"/>
      <c r="C165" s="259"/>
      <c r="D165" s="259"/>
      <c r="E165" s="259"/>
      <c r="F165" s="259"/>
      <c r="G165" s="248">
        <v>689178</v>
      </c>
      <c r="I165" s="262"/>
      <c r="J165" s="255"/>
      <c r="K165" s="255"/>
      <c r="L165" s="255"/>
    </row>
    <row r="166" spans="1:12" ht="19.5" customHeight="1" x14ac:dyDescent="0.3">
      <c r="A166" s="259" t="s">
        <v>496</v>
      </c>
      <c r="B166" s="259"/>
      <c r="C166" s="259"/>
      <c r="D166" s="259"/>
      <c r="E166" s="259"/>
      <c r="F166" s="259"/>
      <c r="G166" s="248">
        <v>689178</v>
      </c>
      <c r="I166" s="262"/>
      <c r="J166" s="255"/>
      <c r="K166" s="255"/>
      <c r="L166" s="255"/>
    </row>
    <row r="167" spans="1:12" ht="19.5" customHeight="1" x14ac:dyDescent="0.3">
      <c r="A167" s="259" t="s">
        <v>527</v>
      </c>
      <c r="B167" s="259"/>
      <c r="C167" s="259"/>
      <c r="D167" s="259"/>
      <c r="E167" s="259"/>
      <c r="F167" s="259"/>
      <c r="G167" s="248">
        <v>229724</v>
      </c>
      <c r="I167" s="262"/>
      <c r="J167" s="255"/>
      <c r="K167" s="255"/>
      <c r="L167" s="255"/>
    </row>
    <row r="168" spans="1:12" ht="19.5" customHeight="1" x14ac:dyDescent="0.3">
      <c r="A168" s="259" t="s">
        <v>388</v>
      </c>
      <c r="B168" s="259"/>
      <c r="C168" s="259"/>
      <c r="D168" s="259"/>
      <c r="E168" s="259"/>
      <c r="F168" s="259"/>
      <c r="G168" s="248">
        <v>689178</v>
      </c>
      <c r="I168" s="262"/>
      <c r="J168" s="255"/>
      <c r="K168" s="255"/>
      <c r="L168" s="255"/>
    </row>
    <row r="169" spans="1:12" ht="19.5" customHeight="1" x14ac:dyDescent="0.3">
      <c r="A169" s="259" t="s">
        <v>389</v>
      </c>
      <c r="B169" s="259"/>
      <c r="C169" s="259"/>
      <c r="D169" s="259"/>
      <c r="E169" s="259"/>
      <c r="F169" s="259"/>
      <c r="G169" s="248">
        <v>689178</v>
      </c>
      <c r="I169" s="262"/>
      <c r="J169" s="255"/>
      <c r="K169" s="255"/>
      <c r="L169" s="255"/>
    </row>
    <row r="170" spans="1:12" ht="19.5" customHeight="1" x14ac:dyDescent="0.3">
      <c r="A170" s="259" t="s">
        <v>466</v>
      </c>
      <c r="B170" s="259"/>
      <c r="C170" s="259"/>
      <c r="D170" s="259"/>
      <c r="E170" s="259"/>
      <c r="F170" s="259"/>
      <c r="G170" s="248">
        <v>689178</v>
      </c>
      <c r="I170" s="262"/>
      <c r="J170" s="255"/>
      <c r="K170" s="255"/>
      <c r="L170" s="255"/>
    </row>
    <row r="171" spans="1:12" ht="19.5" customHeight="1" x14ac:dyDescent="0.3">
      <c r="A171" s="259" t="s">
        <v>408</v>
      </c>
      <c r="B171" s="259"/>
      <c r="C171" s="259"/>
      <c r="D171" s="259"/>
      <c r="E171" s="259"/>
      <c r="F171" s="259"/>
      <c r="G171" s="248">
        <v>57426</v>
      </c>
      <c r="I171" s="262"/>
      <c r="J171" s="255"/>
      <c r="K171" s="255"/>
      <c r="L171" s="255"/>
    </row>
    <row r="172" spans="1:12" ht="19.5" customHeight="1" x14ac:dyDescent="0.3">
      <c r="A172" s="259" t="s">
        <v>409</v>
      </c>
      <c r="B172" s="259"/>
      <c r="C172" s="259"/>
      <c r="D172" s="259"/>
      <c r="E172" s="259"/>
      <c r="F172" s="259"/>
      <c r="G172" s="248">
        <v>689178</v>
      </c>
      <c r="I172" s="262"/>
      <c r="J172" s="255"/>
      <c r="K172" s="255"/>
      <c r="L172" s="255"/>
    </row>
    <row r="173" spans="1:12" ht="19.5" customHeight="1" x14ac:dyDescent="0.3">
      <c r="A173" s="259" t="s">
        <v>390</v>
      </c>
      <c r="B173" s="259"/>
      <c r="C173" s="259"/>
      <c r="D173" s="259"/>
      <c r="E173" s="259"/>
      <c r="F173" s="259"/>
      <c r="G173" s="248">
        <v>689178</v>
      </c>
      <c r="I173" s="262"/>
      <c r="J173" s="255"/>
      <c r="K173" s="255"/>
      <c r="L173" s="255"/>
    </row>
    <row r="174" spans="1:12" ht="19.5" customHeight="1" x14ac:dyDescent="0.3">
      <c r="A174" s="259" t="s">
        <v>467</v>
      </c>
      <c r="B174" s="259"/>
      <c r="C174" s="259"/>
      <c r="D174" s="259"/>
      <c r="E174" s="259"/>
      <c r="F174" s="259"/>
      <c r="G174" s="248">
        <v>689178</v>
      </c>
      <c r="I174" s="262"/>
      <c r="J174" s="255"/>
      <c r="K174" s="255"/>
      <c r="L174" s="255"/>
    </row>
    <row r="175" spans="1:12" ht="19.5" customHeight="1" x14ac:dyDescent="0.3">
      <c r="A175" s="259" t="s">
        <v>443</v>
      </c>
      <c r="B175" s="259"/>
      <c r="C175" s="259"/>
      <c r="D175" s="259"/>
      <c r="E175" s="259"/>
      <c r="F175" s="259"/>
      <c r="G175" s="248">
        <v>689178</v>
      </c>
      <c r="I175" s="262"/>
      <c r="J175" s="255"/>
      <c r="K175" s="255"/>
      <c r="L175" s="255"/>
    </row>
    <row r="176" spans="1:12" ht="19.5" customHeight="1" x14ac:dyDescent="0.3">
      <c r="A176" s="259" t="s">
        <v>444</v>
      </c>
      <c r="B176" s="259"/>
      <c r="C176" s="259"/>
      <c r="D176" s="259"/>
      <c r="E176" s="259"/>
      <c r="F176" s="259"/>
      <c r="G176" s="248">
        <v>689178</v>
      </c>
      <c r="I176" s="262"/>
      <c r="J176" s="255"/>
      <c r="K176" s="255"/>
      <c r="L176" s="255"/>
    </row>
    <row r="177" spans="1:12" ht="19.5" customHeight="1" x14ac:dyDescent="0.3">
      <c r="A177" s="259" t="s">
        <v>533</v>
      </c>
      <c r="B177" s="259"/>
      <c r="C177" s="259"/>
      <c r="D177" s="259"/>
      <c r="E177" s="259"/>
      <c r="F177" s="259"/>
      <c r="G177" s="248">
        <v>57431</v>
      </c>
      <c r="I177" s="262"/>
      <c r="J177" s="255"/>
      <c r="K177" s="255"/>
      <c r="L177" s="255"/>
    </row>
    <row r="178" spans="1:12" ht="19.5" customHeight="1" x14ac:dyDescent="0.3">
      <c r="A178" s="259" t="s">
        <v>391</v>
      </c>
      <c r="B178" s="259"/>
      <c r="C178" s="259"/>
      <c r="D178" s="259"/>
      <c r="E178" s="259"/>
      <c r="F178" s="259"/>
      <c r="G178" s="248">
        <v>689178</v>
      </c>
      <c r="I178" s="262"/>
      <c r="J178" s="255"/>
      <c r="K178" s="255"/>
      <c r="L178" s="255"/>
    </row>
    <row r="179" spans="1:12" ht="19.5" customHeight="1" x14ac:dyDescent="0.3">
      <c r="A179" s="259" t="s">
        <v>445</v>
      </c>
      <c r="B179" s="259"/>
      <c r="C179" s="259"/>
      <c r="D179" s="259"/>
      <c r="E179" s="259"/>
      <c r="F179" s="259"/>
      <c r="G179" s="248">
        <v>689178</v>
      </c>
      <c r="I179" s="262"/>
      <c r="J179" s="255"/>
      <c r="K179" s="255"/>
      <c r="L179" s="255"/>
    </row>
    <row r="180" spans="1:12" ht="19.5" customHeight="1" x14ac:dyDescent="0.3">
      <c r="A180" s="259" t="s">
        <v>446</v>
      </c>
      <c r="B180" s="259"/>
      <c r="C180" s="259"/>
      <c r="D180" s="259"/>
      <c r="E180" s="259"/>
      <c r="F180" s="259"/>
      <c r="G180" s="248">
        <v>689178</v>
      </c>
      <c r="I180" s="262"/>
      <c r="J180" s="255"/>
      <c r="K180" s="255"/>
      <c r="L180" s="255"/>
    </row>
    <row r="181" spans="1:12" ht="19.5" customHeight="1" x14ac:dyDescent="0.3">
      <c r="A181" s="259" t="s">
        <v>490</v>
      </c>
      <c r="B181" s="259"/>
      <c r="C181" s="259"/>
      <c r="D181" s="259"/>
      <c r="E181" s="259"/>
      <c r="F181" s="259"/>
      <c r="G181" s="248">
        <v>57437</v>
      </c>
      <c r="I181" s="262"/>
      <c r="J181" s="255"/>
      <c r="K181" s="255"/>
      <c r="L181" s="255"/>
    </row>
    <row r="182" spans="1:12" ht="19.5" customHeight="1" x14ac:dyDescent="0.3">
      <c r="A182" s="259" t="s">
        <v>447</v>
      </c>
      <c r="B182" s="259"/>
      <c r="C182" s="259"/>
      <c r="D182" s="259"/>
      <c r="E182" s="259"/>
      <c r="F182" s="259"/>
      <c r="G182" s="248">
        <v>689178</v>
      </c>
      <c r="I182" s="262"/>
      <c r="J182" s="255"/>
      <c r="K182" s="255"/>
      <c r="L182" s="255"/>
    </row>
    <row r="183" spans="1:12" ht="19.5" customHeight="1" x14ac:dyDescent="0.3">
      <c r="A183" s="259" t="s">
        <v>497</v>
      </c>
      <c r="B183" s="259"/>
      <c r="C183" s="259"/>
      <c r="D183" s="259"/>
      <c r="E183" s="259"/>
      <c r="F183" s="259"/>
      <c r="G183" s="248">
        <v>689178</v>
      </c>
      <c r="I183" s="262"/>
      <c r="J183" s="255"/>
      <c r="K183" s="255"/>
      <c r="L183" s="255"/>
    </row>
    <row r="184" spans="1:12" ht="19.5" customHeight="1" x14ac:dyDescent="0.3">
      <c r="A184" s="259" t="s">
        <v>468</v>
      </c>
      <c r="B184" s="259"/>
      <c r="C184" s="259"/>
      <c r="D184" s="259"/>
      <c r="E184" s="259"/>
      <c r="F184" s="259"/>
      <c r="G184" s="248">
        <v>689178</v>
      </c>
      <c r="I184" s="262"/>
      <c r="J184" s="255"/>
      <c r="K184" s="255"/>
      <c r="L184" s="255"/>
    </row>
    <row r="185" spans="1:12" ht="19.5" customHeight="1" x14ac:dyDescent="0.3">
      <c r="A185" s="259" t="s">
        <v>498</v>
      </c>
      <c r="B185" s="259"/>
      <c r="C185" s="259"/>
      <c r="D185" s="259"/>
      <c r="E185" s="259"/>
      <c r="F185" s="259"/>
      <c r="G185" s="248">
        <v>689178</v>
      </c>
      <c r="I185" s="262"/>
      <c r="J185" s="255"/>
      <c r="K185" s="255"/>
      <c r="L185" s="255"/>
    </row>
    <row r="186" spans="1:12" ht="19.5" customHeight="1" x14ac:dyDescent="0.3">
      <c r="A186" s="259" t="s">
        <v>499</v>
      </c>
      <c r="B186" s="259"/>
      <c r="C186" s="259"/>
      <c r="D186" s="259"/>
      <c r="E186" s="259"/>
      <c r="F186" s="259"/>
      <c r="G186" s="248">
        <v>689178</v>
      </c>
      <c r="I186" s="262"/>
      <c r="J186" s="255"/>
      <c r="K186" s="255"/>
      <c r="L186" s="255"/>
    </row>
    <row r="187" spans="1:12" ht="19.5" customHeight="1" x14ac:dyDescent="0.3">
      <c r="A187" s="259" t="s">
        <v>500</v>
      </c>
      <c r="B187" s="259"/>
      <c r="C187" s="259"/>
      <c r="D187" s="259"/>
      <c r="E187" s="259"/>
      <c r="F187" s="259"/>
      <c r="G187" s="248">
        <v>689178</v>
      </c>
      <c r="I187" s="262"/>
      <c r="J187" s="255"/>
      <c r="K187" s="255"/>
      <c r="L187" s="255"/>
    </row>
    <row r="188" spans="1:12" ht="19.5" customHeight="1" x14ac:dyDescent="0.3">
      <c r="A188" s="259" t="s">
        <v>423</v>
      </c>
      <c r="B188" s="259"/>
      <c r="C188" s="259"/>
      <c r="D188" s="259"/>
      <c r="E188" s="259"/>
      <c r="F188" s="259"/>
      <c r="G188" s="248">
        <v>689178</v>
      </c>
      <c r="I188" s="262"/>
      <c r="J188" s="255"/>
      <c r="K188" s="255"/>
      <c r="L188" s="255"/>
    </row>
    <row r="189" spans="1:12" ht="19.5" customHeight="1" x14ac:dyDescent="0.3">
      <c r="A189" s="259" t="s">
        <v>501</v>
      </c>
      <c r="B189" s="259"/>
      <c r="C189" s="259"/>
      <c r="D189" s="259"/>
      <c r="E189" s="259"/>
      <c r="F189" s="259"/>
      <c r="G189" s="248">
        <v>689178</v>
      </c>
      <c r="I189" s="262"/>
      <c r="J189" s="255"/>
      <c r="K189" s="255"/>
      <c r="L189" s="255"/>
    </row>
    <row r="190" spans="1:12" ht="19.5" customHeight="1" x14ac:dyDescent="0.3">
      <c r="A190" s="259" t="s">
        <v>392</v>
      </c>
      <c r="B190" s="259"/>
      <c r="C190" s="259"/>
      <c r="D190" s="259"/>
      <c r="E190" s="259"/>
      <c r="F190" s="259"/>
      <c r="G190" s="248">
        <v>689178</v>
      </c>
      <c r="I190" s="262"/>
      <c r="J190" s="255"/>
      <c r="K190" s="255"/>
      <c r="L190" s="255"/>
    </row>
    <row r="191" spans="1:12" ht="19.5" customHeight="1" x14ac:dyDescent="0.3">
      <c r="A191" s="259" t="s">
        <v>424</v>
      </c>
      <c r="B191" s="259"/>
      <c r="C191" s="259"/>
      <c r="D191" s="259"/>
      <c r="E191" s="259"/>
      <c r="F191" s="259"/>
      <c r="G191" s="248">
        <v>689178</v>
      </c>
      <c r="I191" s="262"/>
      <c r="J191" s="255"/>
      <c r="K191" s="255"/>
      <c r="L191" s="255"/>
    </row>
    <row r="192" spans="1:12" ht="19.5" customHeight="1" x14ac:dyDescent="0.3">
      <c r="A192" s="259" t="s">
        <v>393</v>
      </c>
      <c r="B192" s="259"/>
      <c r="C192" s="259"/>
      <c r="D192" s="259"/>
      <c r="E192" s="259"/>
      <c r="F192" s="259"/>
      <c r="G192" s="248">
        <v>689178</v>
      </c>
      <c r="I192" s="262"/>
      <c r="J192" s="255"/>
      <c r="K192" s="255"/>
      <c r="L192" s="255"/>
    </row>
    <row r="193" spans="1:12" ht="19.5" customHeight="1" x14ac:dyDescent="0.3">
      <c r="A193" s="259" t="s">
        <v>394</v>
      </c>
      <c r="B193" s="259"/>
      <c r="C193" s="259"/>
      <c r="D193" s="259"/>
      <c r="E193" s="259"/>
      <c r="F193" s="259"/>
      <c r="G193" s="248">
        <v>689178</v>
      </c>
      <c r="I193" s="262"/>
      <c r="J193" s="255"/>
      <c r="K193" s="255"/>
      <c r="L193" s="255"/>
    </row>
    <row r="194" spans="1:12" ht="19.5" customHeight="1" x14ac:dyDescent="0.3">
      <c r="A194" s="259" t="s">
        <v>469</v>
      </c>
      <c r="B194" s="259"/>
      <c r="C194" s="259"/>
      <c r="D194" s="259"/>
      <c r="E194" s="259"/>
      <c r="F194" s="259"/>
      <c r="G194" s="248">
        <v>689178</v>
      </c>
      <c r="I194" s="262"/>
      <c r="J194" s="255"/>
      <c r="K194" s="255"/>
      <c r="L194" s="255"/>
    </row>
    <row r="195" spans="1:12" ht="19.5" customHeight="1" x14ac:dyDescent="0.3">
      <c r="A195" s="259" t="s">
        <v>395</v>
      </c>
      <c r="B195" s="259"/>
      <c r="C195" s="259"/>
      <c r="D195" s="259"/>
      <c r="E195" s="259"/>
      <c r="F195" s="259"/>
      <c r="G195" s="248">
        <v>689178</v>
      </c>
      <c r="I195" s="262"/>
      <c r="J195" s="255"/>
      <c r="K195" s="255"/>
      <c r="L195" s="255"/>
    </row>
    <row r="196" spans="1:12" ht="19.5" customHeight="1" x14ac:dyDescent="0.3">
      <c r="A196" s="259" t="s">
        <v>396</v>
      </c>
      <c r="B196" s="259"/>
      <c r="C196" s="259"/>
      <c r="D196" s="259"/>
      <c r="E196" s="259"/>
      <c r="F196" s="259"/>
      <c r="G196" s="248">
        <v>689178</v>
      </c>
      <c r="I196" s="262"/>
      <c r="J196" s="255"/>
      <c r="K196" s="255"/>
      <c r="L196" s="255"/>
    </row>
    <row r="197" spans="1:12" ht="19.5" customHeight="1" x14ac:dyDescent="0.3">
      <c r="A197" s="259" t="s">
        <v>502</v>
      </c>
      <c r="B197" s="259"/>
      <c r="C197" s="259"/>
      <c r="D197" s="259"/>
      <c r="E197" s="259"/>
      <c r="F197" s="259"/>
      <c r="G197" s="248">
        <v>689178</v>
      </c>
      <c r="I197" s="262"/>
      <c r="J197" s="255"/>
      <c r="K197" s="255"/>
      <c r="L197" s="255"/>
    </row>
    <row r="198" spans="1:12" ht="19.5" customHeight="1" x14ac:dyDescent="0.3">
      <c r="A198" s="259" t="s">
        <v>530</v>
      </c>
      <c r="B198" s="259"/>
      <c r="C198" s="259"/>
      <c r="D198" s="259"/>
      <c r="E198" s="259"/>
      <c r="F198" s="259"/>
      <c r="G198" s="248">
        <v>172293</v>
      </c>
      <c r="I198" s="262"/>
      <c r="J198" s="255"/>
      <c r="K198" s="255"/>
      <c r="L198" s="255"/>
    </row>
    <row r="199" spans="1:12" ht="19.5" customHeight="1" x14ac:dyDescent="0.3">
      <c r="A199" s="259" t="s">
        <v>410</v>
      </c>
      <c r="B199" s="259"/>
      <c r="C199" s="259"/>
      <c r="D199" s="259"/>
      <c r="E199" s="259"/>
      <c r="F199" s="259"/>
      <c r="G199" s="248">
        <v>689178</v>
      </c>
      <c r="I199" s="262"/>
      <c r="J199" s="255"/>
      <c r="K199" s="255"/>
      <c r="L199" s="255"/>
    </row>
    <row r="200" spans="1:12" ht="19.5" customHeight="1" x14ac:dyDescent="0.3">
      <c r="A200" s="259" t="s">
        <v>397</v>
      </c>
      <c r="B200" s="259"/>
      <c r="C200" s="259"/>
      <c r="D200" s="259"/>
      <c r="E200" s="259"/>
      <c r="F200" s="259"/>
      <c r="G200" s="248">
        <v>689178</v>
      </c>
      <c r="I200" s="262"/>
      <c r="J200" s="255"/>
      <c r="K200" s="255"/>
      <c r="L200" s="255"/>
    </row>
    <row r="201" spans="1:12" ht="19.5" customHeight="1" x14ac:dyDescent="0.3">
      <c r="A201" s="259" t="s">
        <v>398</v>
      </c>
      <c r="B201" s="259"/>
      <c r="C201" s="259"/>
      <c r="D201" s="259"/>
      <c r="E201" s="259"/>
      <c r="F201" s="259"/>
      <c r="G201" s="248">
        <v>689178</v>
      </c>
      <c r="I201" s="262"/>
      <c r="J201" s="255"/>
      <c r="K201" s="255"/>
      <c r="L201" s="255"/>
    </row>
    <row r="202" spans="1:12" ht="19.5" customHeight="1" x14ac:dyDescent="0.3">
      <c r="A202" s="259" t="s">
        <v>399</v>
      </c>
      <c r="B202" s="259"/>
      <c r="C202" s="259"/>
      <c r="D202" s="259"/>
      <c r="E202" s="259"/>
      <c r="F202" s="259"/>
      <c r="G202" s="248">
        <v>689178</v>
      </c>
      <c r="I202" s="262"/>
      <c r="J202" s="255"/>
      <c r="K202" s="255"/>
      <c r="L202" s="255"/>
    </row>
    <row r="203" spans="1:12" ht="19.5" customHeight="1" x14ac:dyDescent="0.3">
      <c r="A203" s="259" t="s">
        <v>411</v>
      </c>
      <c r="B203" s="259"/>
      <c r="C203" s="259"/>
      <c r="D203" s="259"/>
      <c r="E203" s="259"/>
      <c r="F203" s="259"/>
      <c r="G203" s="248">
        <v>689178</v>
      </c>
      <c r="I203" s="262"/>
      <c r="J203" s="255"/>
      <c r="K203" s="255"/>
      <c r="L203" s="255"/>
    </row>
    <row r="204" spans="1:12" ht="19.5" customHeight="1" x14ac:dyDescent="0.3">
      <c r="A204" s="259" t="s">
        <v>503</v>
      </c>
      <c r="B204" s="259"/>
      <c r="C204" s="259"/>
      <c r="D204" s="259"/>
      <c r="E204" s="259"/>
      <c r="F204" s="259"/>
      <c r="G204" s="248">
        <v>689178</v>
      </c>
      <c r="I204" s="262"/>
      <c r="J204" s="255"/>
      <c r="K204" s="255"/>
      <c r="L204" s="255"/>
    </row>
    <row r="205" spans="1:12" ht="19.5" customHeight="1" x14ac:dyDescent="0.3">
      <c r="A205" s="259" t="s">
        <v>400</v>
      </c>
      <c r="B205" s="259"/>
      <c r="C205" s="259"/>
      <c r="D205" s="259"/>
      <c r="E205" s="259"/>
      <c r="F205" s="259"/>
      <c r="G205" s="248">
        <v>689178</v>
      </c>
      <c r="I205" s="262"/>
      <c r="J205" s="255"/>
      <c r="K205" s="255"/>
      <c r="L205" s="255"/>
    </row>
    <row r="206" spans="1:12" ht="19.5" customHeight="1" x14ac:dyDescent="0.3">
      <c r="A206" s="259" t="s">
        <v>401</v>
      </c>
      <c r="B206" s="259"/>
      <c r="C206" s="259"/>
      <c r="D206" s="259"/>
      <c r="E206" s="259"/>
      <c r="F206" s="259"/>
      <c r="G206" s="248">
        <v>689178</v>
      </c>
      <c r="I206" s="262"/>
      <c r="J206" s="255"/>
      <c r="K206" s="255"/>
      <c r="L206" s="255"/>
    </row>
    <row r="207" spans="1:12" ht="19.5" customHeight="1" x14ac:dyDescent="0.3">
      <c r="A207" s="259" t="s">
        <v>402</v>
      </c>
      <c r="B207" s="259"/>
      <c r="C207" s="259"/>
      <c r="D207" s="259"/>
      <c r="E207" s="259"/>
      <c r="F207" s="259"/>
      <c r="G207" s="248">
        <v>689178</v>
      </c>
      <c r="I207" s="262"/>
      <c r="J207" s="255"/>
      <c r="K207" s="255"/>
      <c r="L207" s="255"/>
    </row>
    <row r="208" spans="1:12" ht="19.5" customHeight="1" x14ac:dyDescent="0.3">
      <c r="A208" s="259" t="s">
        <v>504</v>
      </c>
      <c r="B208" s="259"/>
      <c r="C208" s="259"/>
      <c r="D208" s="259"/>
      <c r="E208" s="259"/>
      <c r="F208" s="259"/>
      <c r="G208" s="248">
        <v>689178</v>
      </c>
      <c r="I208" s="262"/>
      <c r="J208" s="255"/>
      <c r="K208" s="255"/>
      <c r="L208" s="255"/>
    </row>
    <row r="209" spans="1:12" ht="19.5" customHeight="1" x14ac:dyDescent="0.3">
      <c r="A209" s="259" t="s">
        <v>415</v>
      </c>
      <c r="B209" s="259"/>
      <c r="C209" s="259"/>
      <c r="D209" s="259"/>
      <c r="E209" s="259"/>
      <c r="F209" s="259"/>
      <c r="G209" s="248">
        <v>689178</v>
      </c>
      <c r="I209" s="262"/>
      <c r="J209" s="255"/>
      <c r="K209" s="255"/>
      <c r="L209" s="255"/>
    </row>
    <row r="210" spans="1:12" ht="19.5" customHeight="1" x14ac:dyDescent="0.3">
      <c r="A210" s="259" t="s">
        <v>470</v>
      </c>
      <c r="B210" s="259"/>
      <c r="C210" s="259"/>
      <c r="D210" s="259"/>
      <c r="E210" s="259"/>
      <c r="F210" s="259"/>
      <c r="G210" s="248">
        <v>689178</v>
      </c>
      <c r="I210" s="262"/>
      <c r="J210" s="255"/>
      <c r="K210" s="255"/>
      <c r="L210" s="255"/>
    </row>
    <row r="211" spans="1:12" ht="19.5" customHeight="1" x14ac:dyDescent="0.3">
      <c r="A211" s="259" t="s">
        <v>505</v>
      </c>
      <c r="B211" s="259"/>
      <c r="C211" s="259"/>
      <c r="D211" s="259"/>
      <c r="E211" s="259"/>
      <c r="F211" s="259"/>
      <c r="G211" s="248">
        <v>689178</v>
      </c>
      <c r="I211" s="262"/>
      <c r="J211" s="255"/>
      <c r="K211" s="255"/>
      <c r="L211" s="255"/>
    </row>
    <row r="212" spans="1:12" ht="19.5" customHeight="1" x14ac:dyDescent="0.3">
      <c r="A212" s="259" t="s">
        <v>403</v>
      </c>
      <c r="B212" s="259"/>
      <c r="C212" s="259"/>
      <c r="D212" s="259"/>
      <c r="E212" s="259"/>
      <c r="F212" s="259"/>
      <c r="G212" s="248">
        <v>689178</v>
      </c>
      <c r="I212" s="262"/>
      <c r="J212" s="255"/>
      <c r="K212" s="255"/>
      <c r="L212" s="255"/>
    </row>
    <row r="213" spans="1:12" ht="19.5" customHeight="1" x14ac:dyDescent="0.3">
      <c r="A213" s="259" t="s">
        <v>452</v>
      </c>
      <c r="B213" s="259"/>
      <c r="C213" s="259"/>
      <c r="D213" s="259"/>
      <c r="E213" s="259"/>
      <c r="F213" s="259"/>
      <c r="G213" s="248">
        <v>689178</v>
      </c>
      <c r="I213" s="262"/>
      <c r="J213" s="255"/>
      <c r="K213" s="255"/>
      <c r="L213" s="255"/>
    </row>
    <row r="214" spans="1:12" ht="19.5" customHeight="1" x14ac:dyDescent="0.3">
      <c r="A214" s="259" t="s">
        <v>404</v>
      </c>
      <c r="B214" s="259"/>
      <c r="C214" s="259"/>
      <c r="D214" s="259"/>
      <c r="E214" s="259"/>
      <c r="F214" s="259"/>
      <c r="G214" s="248">
        <v>689178</v>
      </c>
      <c r="I214" s="262"/>
      <c r="J214" s="255"/>
      <c r="K214" s="255"/>
      <c r="L214" s="255"/>
    </row>
    <row r="215" spans="1:12" ht="19.5" customHeight="1" x14ac:dyDescent="0.3">
      <c r="A215" s="259" t="s">
        <v>506</v>
      </c>
      <c r="B215" s="259"/>
      <c r="C215" s="259"/>
      <c r="D215" s="259"/>
      <c r="E215" s="259"/>
      <c r="F215" s="259"/>
      <c r="G215" s="248">
        <v>689178</v>
      </c>
      <c r="I215" s="262"/>
      <c r="J215" s="255"/>
      <c r="K215" s="255"/>
      <c r="L215" s="255"/>
    </row>
    <row r="216" spans="1:12" ht="19.5" customHeight="1" x14ac:dyDescent="0.3">
      <c r="A216" s="259" t="s">
        <v>448</v>
      </c>
      <c r="B216" s="259"/>
      <c r="C216" s="259"/>
      <c r="D216" s="259"/>
      <c r="E216" s="259"/>
      <c r="F216" s="259"/>
      <c r="G216" s="248">
        <v>689178</v>
      </c>
      <c r="I216" s="262"/>
      <c r="J216" s="255"/>
      <c r="K216" s="255"/>
      <c r="L216" s="255"/>
    </row>
    <row r="217" spans="1:12" ht="19.5" customHeight="1" x14ac:dyDescent="0.3">
      <c r="A217" s="259" t="s">
        <v>471</v>
      </c>
      <c r="B217" s="259"/>
      <c r="C217" s="259"/>
      <c r="D217" s="259"/>
      <c r="E217" s="259"/>
      <c r="F217" s="259"/>
      <c r="G217" s="248">
        <v>689178</v>
      </c>
      <c r="I217" s="262"/>
      <c r="J217" s="255"/>
      <c r="K217" s="255"/>
      <c r="L217" s="255"/>
    </row>
    <row r="218" spans="1:12" ht="19.5" customHeight="1" x14ac:dyDescent="0.3">
      <c r="A218" s="259" t="s">
        <v>412</v>
      </c>
      <c r="B218" s="259"/>
      <c r="C218" s="259"/>
      <c r="D218" s="259"/>
      <c r="E218" s="259"/>
      <c r="F218" s="259"/>
      <c r="G218" s="248">
        <v>689178</v>
      </c>
      <c r="I218" s="262"/>
      <c r="J218" s="255"/>
      <c r="K218" s="255"/>
      <c r="L218" s="255"/>
    </row>
    <row r="219" spans="1:12" ht="19.5" customHeight="1" x14ac:dyDescent="0.3">
      <c r="A219" s="259" t="s">
        <v>534</v>
      </c>
      <c r="B219" s="259"/>
      <c r="C219" s="259"/>
      <c r="D219" s="259"/>
      <c r="E219" s="259"/>
      <c r="F219" s="259"/>
      <c r="G219" s="248">
        <v>172293</v>
      </c>
      <c r="I219" s="262"/>
      <c r="J219" s="255"/>
      <c r="K219" s="255"/>
      <c r="L219" s="255"/>
    </row>
    <row r="220" spans="1:12" ht="19.5" customHeight="1" x14ac:dyDescent="0.3">
      <c r="A220" s="259" t="s">
        <v>455</v>
      </c>
      <c r="B220" s="259"/>
      <c r="C220" s="259"/>
      <c r="D220" s="259"/>
      <c r="E220" s="259"/>
      <c r="F220" s="259"/>
      <c r="G220" s="248">
        <v>344589</v>
      </c>
      <c r="I220" s="262"/>
      <c r="J220" s="255"/>
      <c r="K220" s="255"/>
      <c r="L220" s="255"/>
    </row>
    <row r="221" spans="1:12" ht="19.5" customHeight="1" x14ac:dyDescent="0.3">
      <c r="A221" s="259" t="s">
        <v>449</v>
      </c>
      <c r="B221" s="259"/>
      <c r="C221" s="259"/>
      <c r="D221" s="259"/>
      <c r="E221" s="259"/>
      <c r="F221" s="259"/>
      <c r="G221" s="248">
        <v>689178</v>
      </c>
      <c r="I221" s="262"/>
      <c r="J221" s="255"/>
      <c r="K221" s="255"/>
      <c r="L221" s="255"/>
    </row>
    <row r="222" spans="1:12" ht="19.5" customHeight="1" x14ac:dyDescent="0.3">
      <c r="A222" s="259" t="s">
        <v>429</v>
      </c>
      <c r="B222" s="259"/>
      <c r="C222" s="259"/>
      <c r="D222" s="259"/>
      <c r="E222" s="259"/>
      <c r="F222" s="259"/>
      <c r="G222" s="248">
        <v>689178</v>
      </c>
      <c r="I222" s="262"/>
      <c r="J222" s="255"/>
      <c r="K222" s="255"/>
      <c r="L222" s="255"/>
    </row>
    <row r="223" spans="1:12" ht="19.5" customHeight="1" x14ac:dyDescent="0.3">
      <c r="A223" s="259" t="s">
        <v>507</v>
      </c>
      <c r="B223" s="259"/>
      <c r="C223" s="259"/>
      <c r="D223" s="259"/>
      <c r="E223" s="259"/>
      <c r="F223" s="259"/>
      <c r="G223" s="248">
        <v>689178</v>
      </c>
      <c r="I223" s="262"/>
      <c r="J223" s="255"/>
      <c r="K223" s="255"/>
      <c r="L223" s="255"/>
    </row>
    <row r="224" spans="1:12" ht="19.5" customHeight="1" x14ac:dyDescent="0.3">
      <c r="A224" s="259" t="s">
        <v>454</v>
      </c>
      <c r="B224" s="259"/>
      <c r="C224" s="259"/>
      <c r="D224" s="259"/>
      <c r="E224" s="259"/>
      <c r="F224" s="259"/>
      <c r="G224" s="248">
        <v>689178</v>
      </c>
      <c r="I224" s="262"/>
      <c r="J224" s="255"/>
      <c r="K224" s="255"/>
      <c r="L224" s="255"/>
    </row>
    <row r="225" spans="1:12" ht="19.5" customHeight="1" x14ac:dyDescent="0.3">
      <c r="A225" s="259" t="s">
        <v>405</v>
      </c>
      <c r="B225" s="259"/>
      <c r="C225" s="259"/>
      <c r="D225" s="259"/>
      <c r="E225" s="259"/>
      <c r="F225" s="259"/>
      <c r="G225" s="248">
        <v>689178</v>
      </c>
      <c r="I225" s="262"/>
      <c r="J225" s="255"/>
      <c r="K225" s="255"/>
      <c r="L225" s="255"/>
    </row>
    <row r="226" spans="1:12" ht="19.5" customHeight="1" x14ac:dyDescent="0.3">
      <c r="A226" s="259" t="s">
        <v>472</v>
      </c>
      <c r="B226" s="259"/>
      <c r="C226" s="259"/>
      <c r="D226" s="259"/>
      <c r="E226" s="259"/>
      <c r="F226" s="259"/>
      <c r="G226" s="248">
        <v>689178</v>
      </c>
      <c r="I226" s="262"/>
      <c r="J226" s="255"/>
      <c r="K226" s="255"/>
      <c r="L226" s="255"/>
    </row>
    <row r="227" spans="1:12" ht="19.5" customHeight="1" x14ac:dyDescent="0.3">
      <c r="A227" s="259" t="s">
        <v>406</v>
      </c>
      <c r="B227" s="259"/>
      <c r="C227" s="259"/>
      <c r="D227" s="259"/>
      <c r="E227" s="259"/>
      <c r="F227" s="259"/>
      <c r="G227" s="248">
        <v>689178</v>
      </c>
      <c r="I227" s="262"/>
      <c r="J227" s="255"/>
      <c r="K227" s="255"/>
      <c r="L227" s="255"/>
    </row>
    <row r="228" spans="1:12" ht="19.5" customHeight="1" x14ac:dyDescent="0.3">
      <c r="A228" s="259" t="s">
        <v>407</v>
      </c>
      <c r="B228" s="259"/>
      <c r="C228" s="259"/>
      <c r="D228" s="259"/>
      <c r="E228" s="259"/>
      <c r="F228" s="259"/>
      <c r="G228" s="270">
        <v>689178</v>
      </c>
      <c r="I228" s="262"/>
      <c r="J228" s="255"/>
      <c r="K228" s="255"/>
      <c r="L228" s="255"/>
    </row>
    <row r="229" spans="1:12" ht="19.5" customHeight="1" thickBot="1" x14ac:dyDescent="0.35">
      <c r="A229" s="259"/>
      <c r="B229" s="259"/>
      <c r="C229" s="259"/>
      <c r="D229" s="259"/>
      <c r="E229" s="259"/>
      <c r="F229" s="259"/>
      <c r="G229" s="271">
        <f>SUM(G150:G228)</f>
        <v>48796948</v>
      </c>
      <c r="I229" s="262"/>
      <c r="J229" s="255"/>
      <c r="K229" s="255"/>
      <c r="L229" s="255"/>
    </row>
    <row r="230" spans="1:12" ht="19.5" customHeight="1" thickTop="1" x14ac:dyDescent="0.25">
      <c r="I230" s="262"/>
      <c r="J230" s="255"/>
      <c r="K230" s="255"/>
      <c r="L230" s="255"/>
    </row>
    <row r="231" spans="1:12" ht="19.5" customHeight="1" x14ac:dyDescent="0.25">
      <c r="I231" s="262"/>
      <c r="J231" s="255"/>
      <c r="K231" s="255"/>
      <c r="L231" s="255"/>
    </row>
    <row r="232" spans="1:12" ht="19.5" customHeight="1" x14ac:dyDescent="0.25">
      <c r="I232" s="262"/>
      <c r="J232" s="255"/>
      <c r="K232" s="255"/>
      <c r="L232" s="255"/>
    </row>
    <row r="233" spans="1:12" ht="19.5" customHeight="1" x14ac:dyDescent="0.25">
      <c r="A233" s="285" t="s">
        <v>374</v>
      </c>
      <c r="B233" s="285"/>
      <c r="C233" s="285"/>
      <c r="D233" s="285"/>
    </row>
    <row r="234" spans="1:12" ht="19.5" customHeight="1" x14ac:dyDescent="0.25">
      <c r="A234" s="286" t="s">
        <v>37</v>
      </c>
      <c r="B234" s="286"/>
      <c r="C234" s="286"/>
      <c r="D234" s="286"/>
    </row>
    <row r="235" spans="1:12" ht="19.5" customHeight="1" x14ac:dyDescent="0.25">
      <c r="A235" s="286" t="s">
        <v>375</v>
      </c>
      <c r="B235" s="286"/>
      <c r="C235" s="286"/>
      <c r="D235" s="286"/>
    </row>
  </sheetData>
  <sortState ref="A147:L150">
    <sortCondition ref="A147:A150"/>
  </sortState>
  <mergeCells count="5">
    <mergeCell ref="A233:D233"/>
    <mergeCell ref="A234:D234"/>
    <mergeCell ref="A235:D235"/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2"/>
  <sheetViews>
    <sheetView topLeftCell="A55" workbookViewId="0">
      <selection activeCell="I88" sqref="I88"/>
    </sheetView>
  </sheetViews>
  <sheetFormatPr baseColWidth="10" defaultColWidth="11.42578125" defaultRowHeight="12" x14ac:dyDescent="0.2"/>
  <cols>
    <col min="1" max="1" width="27" style="21" customWidth="1"/>
    <col min="2" max="2" width="13.28515625" style="21" customWidth="1"/>
    <col min="3" max="3" width="18.140625" style="46" customWidth="1"/>
    <col min="4" max="4" width="8.42578125" style="198" customWidth="1"/>
    <col min="5" max="5" width="1.7109375" style="198" customWidth="1"/>
    <col min="6" max="6" width="18" style="46" customWidth="1"/>
    <col min="7" max="7" width="9.140625" style="21" customWidth="1"/>
    <col min="8" max="8" width="20.42578125" style="25" customWidth="1"/>
    <col min="9" max="9" width="11.42578125" style="21"/>
    <col min="10" max="10" width="12.28515625" style="21" bestFit="1" customWidth="1"/>
    <col min="11" max="16384" width="11.42578125" style="21"/>
  </cols>
  <sheetData>
    <row r="3" spans="1:11" s="39" customFormat="1" ht="12.75" x14ac:dyDescent="0.2">
      <c r="A3" s="289" t="s">
        <v>0</v>
      </c>
      <c r="B3" s="289"/>
      <c r="C3" s="289"/>
      <c r="D3" s="289"/>
      <c r="E3" s="289"/>
      <c r="F3" s="289"/>
      <c r="G3" s="289"/>
      <c r="H3" s="289"/>
    </row>
    <row r="4" spans="1:11" s="39" customFormat="1" ht="12.75" x14ac:dyDescent="0.2">
      <c r="A4" s="289" t="s">
        <v>62</v>
      </c>
      <c r="B4" s="289"/>
      <c r="C4" s="289"/>
      <c r="D4" s="289"/>
      <c r="E4" s="289"/>
      <c r="F4" s="289"/>
      <c r="G4" s="289"/>
      <c r="H4" s="289"/>
    </row>
    <row r="5" spans="1:11" s="39" customFormat="1" ht="12.75" x14ac:dyDescent="0.2">
      <c r="A5" s="289" t="s">
        <v>364</v>
      </c>
      <c r="B5" s="289"/>
      <c r="C5" s="289"/>
      <c r="D5" s="289"/>
      <c r="E5" s="289"/>
      <c r="F5" s="289"/>
      <c r="G5" s="289"/>
      <c r="H5" s="289"/>
    </row>
    <row r="6" spans="1:11" s="39" customFormat="1" ht="12.75" x14ac:dyDescent="0.2">
      <c r="A6" s="179"/>
      <c r="B6" s="179"/>
      <c r="C6" s="179"/>
      <c r="D6" s="180"/>
      <c r="E6" s="180"/>
      <c r="F6" s="179"/>
      <c r="G6" s="179"/>
      <c r="H6" s="179"/>
    </row>
    <row r="7" spans="1:11" s="39" customFormat="1" ht="12.75" x14ac:dyDescent="0.2">
      <c r="A7" s="179"/>
      <c r="B7" s="179"/>
      <c r="C7" s="179"/>
      <c r="D7" s="180"/>
      <c r="E7" s="180"/>
      <c r="F7" s="179"/>
      <c r="G7" s="179"/>
      <c r="H7" s="179"/>
    </row>
    <row r="8" spans="1:11" s="39" customFormat="1" ht="12.75" x14ac:dyDescent="0.2">
      <c r="C8" s="41"/>
      <c r="D8" s="181"/>
      <c r="E8" s="181"/>
      <c r="F8" s="41"/>
      <c r="H8" s="40"/>
    </row>
    <row r="9" spans="1:11" s="78" customFormat="1" x14ac:dyDescent="0.2">
      <c r="A9" s="281" t="s">
        <v>1</v>
      </c>
      <c r="B9" s="281"/>
      <c r="C9" s="170">
        <v>2013</v>
      </c>
      <c r="D9" s="182"/>
      <c r="E9" s="182"/>
      <c r="F9" s="170">
        <v>2012</v>
      </c>
      <c r="H9" s="79" t="s">
        <v>342</v>
      </c>
      <c r="I9" s="78" t="s">
        <v>111</v>
      </c>
    </row>
    <row r="10" spans="1:11" s="22" customFormat="1" x14ac:dyDescent="0.2">
      <c r="A10" s="176"/>
      <c r="B10" s="176"/>
      <c r="C10" s="174"/>
      <c r="D10" s="183"/>
      <c r="E10" s="183"/>
      <c r="F10" s="174"/>
    </row>
    <row r="11" spans="1:11" s="27" customFormat="1" x14ac:dyDescent="0.2">
      <c r="A11" s="27" t="s">
        <v>4</v>
      </c>
      <c r="C11" s="43"/>
      <c r="D11" s="184"/>
      <c r="E11" s="184"/>
      <c r="F11" s="43"/>
    </row>
    <row r="12" spans="1:11" s="27" customFormat="1" x14ac:dyDescent="0.2">
      <c r="A12" s="27" t="s">
        <v>6</v>
      </c>
      <c r="C12" s="43"/>
      <c r="D12" s="184"/>
      <c r="E12" s="184"/>
      <c r="F12" s="43"/>
    </row>
    <row r="13" spans="1:11" x14ac:dyDescent="0.2">
      <c r="A13" s="27" t="s">
        <v>8</v>
      </c>
      <c r="B13" s="27"/>
      <c r="C13" s="46">
        <v>2254639</v>
      </c>
      <c r="D13" s="185">
        <v>0.15058834820388972</v>
      </c>
      <c r="E13" s="185"/>
      <c r="F13" s="46">
        <v>10338506</v>
      </c>
      <c r="G13" s="185">
        <v>0.13274561922863687</v>
      </c>
      <c r="H13" s="25">
        <v>517902</v>
      </c>
      <c r="I13" s="186">
        <f t="shared" ref="I13:I14" si="0">(1-(C13/F13))*-1</f>
        <v>-0.78191829651208788</v>
      </c>
      <c r="J13" s="186"/>
      <c r="K13" s="138"/>
    </row>
    <row r="14" spans="1:11" s="25" customFormat="1" x14ac:dyDescent="0.2">
      <c r="A14" s="21"/>
      <c r="B14" s="175" t="s">
        <v>343</v>
      </c>
      <c r="C14" s="44">
        <f>C13</f>
        <v>2254639</v>
      </c>
      <c r="D14" s="187">
        <f>D13</f>
        <v>0.15058834820388972</v>
      </c>
      <c r="E14" s="187"/>
      <c r="F14" s="44">
        <f>F13</f>
        <v>10338506</v>
      </c>
      <c r="G14" s="187">
        <f>G13</f>
        <v>0.13274561922863687</v>
      </c>
      <c r="H14" s="33">
        <v>517902</v>
      </c>
      <c r="I14" s="188">
        <f t="shared" si="0"/>
        <v>-0.78191829651208788</v>
      </c>
      <c r="J14" s="186"/>
    </row>
    <row r="15" spans="1:11" x14ac:dyDescent="0.2">
      <c r="D15" s="185"/>
      <c r="E15" s="185"/>
      <c r="G15" s="185"/>
      <c r="J15" s="186"/>
    </row>
    <row r="16" spans="1:11" x14ac:dyDescent="0.2">
      <c r="C16" s="45"/>
      <c r="D16" s="189"/>
      <c r="E16" s="189"/>
      <c r="F16" s="45"/>
      <c r="G16" s="189"/>
      <c r="J16" s="186"/>
    </row>
    <row r="17" spans="1:10" x14ac:dyDescent="0.2">
      <c r="A17" s="21" t="s">
        <v>14</v>
      </c>
      <c r="C17" s="46">
        <v>10022700</v>
      </c>
      <c r="D17" s="185">
        <v>0.66761862223697521</v>
      </c>
      <c r="E17" s="185"/>
      <c r="F17" s="46">
        <v>45834748.93</v>
      </c>
      <c r="G17" s="185">
        <v>0.68227268011707665</v>
      </c>
      <c r="H17" s="25">
        <f>C17-F17</f>
        <v>-35812048.93</v>
      </c>
      <c r="I17" s="186">
        <f t="shared" ref="I17:I18" si="1">(1-(C17/F17))*-1</f>
        <v>-0.78132966288727967</v>
      </c>
      <c r="J17" s="186"/>
    </row>
    <row r="18" spans="1:10" x14ac:dyDescent="0.2">
      <c r="A18" s="27"/>
      <c r="B18" s="175" t="s">
        <v>344</v>
      </c>
      <c r="C18" s="44">
        <f>SUM(C17)</f>
        <v>10022700</v>
      </c>
      <c r="D18" s="187">
        <v>0.64182866665231453</v>
      </c>
      <c r="E18" s="187"/>
      <c r="F18" s="44">
        <f>SUM(F17)</f>
        <v>45834748.93</v>
      </c>
      <c r="G18" s="187">
        <v>0.65833957725748038</v>
      </c>
      <c r="H18" s="33">
        <v>-4640211</v>
      </c>
      <c r="I18" s="188">
        <f t="shared" si="1"/>
        <v>-0.78132966288727967</v>
      </c>
      <c r="J18" s="186"/>
    </row>
    <row r="19" spans="1:10" s="27" customFormat="1" x14ac:dyDescent="0.2">
      <c r="A19" s="21"/>
      <c r="B19" s="21"/>
      <c r="C19" s="45"/>
      <c r="D19" s="189"/>
      <c r="E19" s="189"/>
      <c r="F19" s="45"/>
      <c r="G19" s="189"/>
      <c r="H19" s="25"/>
      <c r="J19" s="186"/>
    </row>
    <row r="20" spans="1:10" s="25" customFormat="1" x14ac:dyDescent="0.2">
      <c r="A20" s="27" t="s">
        <v>16</v>
      </c>
      <c r="B20" s="27"/>
      <c r="C20" s="46">
        <v>16342210</v>
      </c>
      <c r="D20" s="185">
        <v>2.4900191696416239E-2</v>
      </c>
      <c r="E20" s="185"/>
      <c r="F20" s="46">
        <v>1709500</v>
      </c>
      <c r="G20" s="185">
        <v>2.3597826837148523E-2</v>
      </c>
      <c r="H20" s="25">
        <f>C20-F20</f>
        <v>14632710</v>
      </c>
      <c r="I20" s="186">
        <f t="shared" ref="I20:I22" si="2">(1-(C20/F20))*-1</f>
        <v>8.5596431705176954</v>
      </c>
      <c r="J20" s="186"/>
    </row>
    <row r="21" spans="1:10" x14ac:dyDescent="0.2">
      <c r="B21" s="175" t="s">
        <v>345</v>
      </c>
      <c r="C21" s="190">
        <f>C20</f>
        <v>16342210</v>
      </c>
      <c r="D21" s="191">
        <f>D20</f>
        <v>2.4900191696416239E-2</v>
      </c>
      <c r="E21" s="191"/>
      <c r="F21" s="190">
        <f>F20</f>
        <v>1709500</v>
      </c>
      <c r="G21" s="191">
        <f>G20</f>
        <v>2.3597826837148523E-2</v>
      </c>
      <c r="H21" s="33">
        <f>H20</f>
        <v>14632710</v>
      </c>
      <c r="I21" s="188">
        <f t="shared" si="2"/>
        <v>8.5596431705176954</v>
      </c>
      <c r="J21" s="186"/>
    </row>
    <row r="22" spans="1:10" s="25" customFormat="1" x14ac:dyDescent="0.2">
      <c r="B22" s="175" t="s">
        <v>20</v>
      </c>
      <c r="C22" s="43">
        <f>C13+C17+C20</f>
        <v>28619549</v>
      </c>
      <c r="D22" s="192">
        <f>C22/$C$28</f>
        <v>0.68828788048555989</v>
      </c>
      <c r="E22" s="192"/>
      <c r="F22" s="43">
        <f>F13+F17+F20</f>
        <v>57882754.93</v>
      </c>
      <c r="G22" s="192">
        <f>F22/$F$28</f>
        <v>0.84310716213728121</v>
      </c>
      <c r="H22" s="33">
        <f t="shared" ref="H22" si="3">+C22-F22</f>
        <v>-29263205.93</v>
      </c>
      <c r="I22" s="188">
        <f t="shared" si="2"/>
        <v>-0.50556000600505624</v>
      </c>
      <c r="J22" s="186"/>
    </row>
    <row r="23" spans="1:10" s="27" customFormat="1" x14ac:dyDescent="0.2">
      <c r="A23" s="27" t="s">
        <v>21</v>
      </c>
      <c r="C23" s="44"/>
      <c r="D23" s="187"/>
      <c r="E23" s="187"/>
      <c r="F23" s="44"/>
      <c r="G23" s="187"/>
      <c r="H23" s="25"/>
      <c r="J23" s="186"/>
    </row>
    <row r="24" spans="1:10" s="25" customFormat="1" x14ac:dyDescent="0.2">
      <c r="A24" s="27" t="s">
        <v>23</v>
      </c>
      <c r="B24" s="21"/>
      <c r="C24" s="45"/>
      <c r="D24" s="189"/>
      <c r="E24" s="189"/>
      <c r="F24" s="45"/>
      <c r="G24" s="189"/>
      <c r="J24" s="186"/>
    </row>
    <row r="25" spans="1:10" s="25" customFormat="1" x14ac:dyDescent="0.2">
      <c r="A25" s="21" t="s">
        <v>346</v>
      </c>
      <c r="B25" s="21"/>
      <c r="C25" s="47">
        <v>12961234</v>
      </c>
      <c r="D25" s="193">
        <v>0.15690000000000001</v>
      </c>
      <c r="E25" s="193"/>
      <c r="F25" s="47">
        <v>10771335</v>
      </c>
      <c r="G25" s="193">
        <v>0.16139999999999999</v>
      </c>
      <c r="H25" s="25">
        <f t="shared" ref="H25:H26" si="4">+C25-F25</f>
        <v>2189899</v>
      </c>
      <c r="I25" s="186">
        <f t="shared" ref="I25:I26" si="5">(1-(C25/F25))*-1</f>
        <v>0.20330803934702613</v>
      </c>
      <c r="J25" s="186"/>
    </row>
    <row r="26" spans="1:10" s="25" customFormat="1" x14ac:dyDescent="0.2">
      <c r="A26" s="33"/>
      <c r="B26" s="34" t="s">
        <v>25</v>
      </c>
      <c r="C26" s="43">
        <f>SUM(C25:C25)</f>
        <v>12961234</v>
      </c>
      <c r="D26" s="192">
        <f>C26/$C$28</f>
        <v>0.31171211951444011</v>
      </c>
      <c r="E26" s="192"/>
      <c r="F26" s="43">
        <f>SUM(F25:F25)</f>
        <v>10771335</v>
      </c>
      <c r="G26" s="192">
        <f>F26/$F$28</f>
        <v>0.15689283786271871</v>
      </c>
      <c r="H26" s="33">
        <f t="shared" si="4"/>
        <v>2189899</v>
      </c>
      <c r="I26" s="188">
        <f t="shared" si="5"/>
        <v>0.20330803934702613</v>
      </c>
      <c r="J26" s="186"/>
    </row>
    <row r="27" spans="1:10" s="33" customFormat="1" x14ac:dyDescent="0.2">
      <c r="C27" s="43"/>
      <c r="D27" s="192"/>
      <c r="E27" s="192"/>
      <c r="F27" s="43"/>
      <c r="G27" s="192"/>
      <c r="H27" s="25"/>
      <c r="J27" s="186"/>
    </row>
    <row r="28" spans="1:10" s="25" customFormat="1" ht="12.75" thickBot="1" x14ac:dyDescent="0.25">
      <c r="A28" s="33"/>
      <c r="B28" s="34" t="s">
        <v>27</v>
      </c>
      <c r="C28" s="48">
        <f>C22+C26</f>
        <v>41580783</v>
      </c>
      <c r="D28" s="194">
        <f>C28/$C$28</f>
        <v>1</v>
      </c>
      <c r="E28" s="194"/>
      <c r="F28" s="48">
        <f>F22+F26</f>
        <v>68654089.930000007</v>
      </c>
      <c r="G28" s="194">
        <f>F28/$F$28</f>
        <v>1</v>
      </c>
      <c r="H28" s="33">
        <f>+C28-F28</f>
        <v>-27073306.930000007</v>
      </c>
      <c r="I28" s="188">
        <f t="shared" ref="I28" si="6">(1-(C28/F28))*-1</f>
        <v>-0.39434368669956976</v>
      </c>
      <c r="J28" s="186"/>
    </row>
    <row r="29" spans="1:10" s="25" customFormat="1" ht="12.75" thickTop="1" x14ac:dyDescent="0.2">
      <c r="A29" s="33"/>
      <c r="B29" s="34"/>
      <c r="C29" s="44"/>
      <c r="D29" s="195"/>
      <c r="E29" s="195"/>
      <c r="F29" s="44"/>
      <c r="J29" s="186"/>
    </row>
    <row r="30" spans="1:10" s="25" customFormat="1" x14ac:dyDescent="0.2">
      <c r="A30" s="33"/>
      <c r="B30" s="34"/>
      <c r="C30" s="44"/>
      <c r="D30" s="195"/>
      <c r="E30" s="195"/>
      <c r="F30" s="44"/>
      <c r="J30" s="186"/>
    </row>
    <row r="31" spans="1:10" s="25" customFormat="1" x14ac:dyDescent="0.2">
      <c r="A31" s="33" t="s">
        <v>29</v>
      </c>
      <c r="J31" s="186"/>
    </row>
    <row r="32" spans="1:10" s="25" customFormat="1" x14ac:dyDescent="0.2">
      <c r="A32" s="25" t="s">
        <v>347</v>
      </c>
      <c r="C32" s="45">
        <v>0</v>
      </c>
      <c r="D32" s="196">
        <f>+C32/$C$36</f>
        <v>0</v>
      </c>
      <c r="E32" s="196"/>
      <c r="F32" s="45">
        <v>34719636</v>
      </c>
      <c r="G32" s="196">
        <f>+F32/$F$36</f>
        <v>1.9926506836807131E-3</v>
      </c>
      <c r="H32" s="45">
        <f>C32-F32</f>
        <v>-34719636</v>
      </c>
      <c r="I32" s="186">
        <f t="shared" ref="I32:I36" si="7">(1-(C32/F32))*-1</f>
        <v>-1</v>
      </c>
      <c r="J32" s="186"/>
    </row>
    <row r="33" spans="1:10" s="25" customFormat="1" x14ac:dyDescent="0.2">
      <c r="A33" s="25" t="s">
        <v>202</v>
      </c>
      <c r="C33" s="46">
        <v>17478753531</v>
      </c>
      <c r="D33" s="196">
        <f>+C33/$C$36</f>
        <v>0.95684226074492107</v>
      </c>
      <c r="E33" s="196"/>
      <c r="F33" s="46">
        <v>16646431934</v>
      </c>
      <c r="G33" s="196">
        <f>+F33/$F$36</f>
        <v>0.95538225038216285</v>
      </c>
      <c r="H33" s="45">
        <f t="shared" ref="H33:H35" si="8">C33-F33</f>
        <v>832321597</v>
      </c>
      <c r="I33" s="186">
        <f t="shared" si="7"/>
        <v>5.0000000018021851E-2</v>
      </c>
      <c r="J33" s="186"/>
    </row>
    <row r="34" spans="1:10" s="25" customFormat="1" x14ac:dyDescent="0.2">
      <c r="A34" s="25" t="s">
        <v>31</v>
      </c>
      <c r="C34" s="45">
        <v>759665550</v>
      </c>
      <c r="D34" s="196">
        <f>+C34/$C$36</f>
        <v>4.1586495340348646E-2</v>
      </c>
      <c r="E34" s="196"/>
      <c r="F34" s="45">
        <v>723491000</v>
      </c>
      <c r="G34" s="196">
        <f>+F34/$F$36</f>
        <v>4.1523040039556945E-2</v>
      </c>
      <c r="H34" s="45">
        <f t="shared" si="8"/>
        <v>36174550</v>
      </c>
      <c r="I34" s="186">
        <f t="shared" si="7"/>
        <v>5.0000000000000044E-2</v>
      </c>
      <c r="J34" s="186"/>
    </row>
    <row r="35" spans="1:10" s="25" customFormat="1" x14ac:dyDescent="0.2">
      <c r="A35" s="25" t="s">
        <v>32</v>
      </c>
      <c r="C35" s="47">
        <v>28702103</v>
      </c>
      <c r="D35" s="197">
        <f>+C35/$C$36</f>
        <v>1.5712439147302479E-3</v>
      </c>
      <c r="E35" s="197"/>
      <c r="F35" s="47">
        <v>19202103</v>
      </c>
      <c r="G35" s="197">
        <f>+F35/$F$36</f>
        <v>1.1020588945995133E-3</v>
      </c>
      <c r="H35" s="45">
        <f t="shared" si="8"/>
        <v>9500000</v>
      </c>
      <c r="I35" s="186">
        <f t="shared" si="7"/>
        <v>0.49473747745233942</v>
      </c>
      <c r="J35" s="186"/>
    </row>
    <row r="36" spans="1:10" s="25" customFormat="1" x14ac:dyDescent="0.2">
      <c r="A36" s="33"/>
      <c r="B36" s="34" t="s">
        <v>348</v>
      </c>
      <c r="C36" s="44">
        <f>SUM(C32:C35)</f>
        <v>18267121184</v>
      </c>
      <c r="D36" s="195">
        <f>+C36/$C$36</f>
        <v>1</v>
      </c>
      <c r="E36" s="195"/>
      <c r="F36" s="44">
        <f>SUM(F32:F35)</f>
        <v>17423844673</v>
      </c>
      <c r="G36" s="195">
        <f>+F36/$F$36</f>
        <v>1</v>
      </c>
      <c r="H36" s="44">
        <f>C36-F36</f>
        <v>843276511</v>
      </c>
      <c r="I36" s="188">
        <f t="shared" si="7"/>
        <v>4.8397843692141063E-2</v>
      </c>
      <c r="J36" s="186"/>
    </row>
    <row r="37" spans="1:10" s="25" customFormat="1" x14ac:dyDescent="0.2">
      <c r="A37" s="33"/>
      <c r="B37" s="34"/>
      <c r="C37" s="44"/>
      <c r="D37" s="195"/>
      <c r="E37" s="195"/>
      <c r="F37" s="44"/>
      <c r="H37" s="33"/>
      <c r="J37" s="186"/>
    </row>
    <row r="38" spans="1:10" s="25" customFormat="1" x14ac:dyDescent="0.2">
      <c r="A38" s="33"/>
      <c r="B38" s="34"/>
      <c r="C38" s="44"/>
      <c r="D38" s="195"/>
      <c r="E38" s="195"/>
      <c r="F38" s="44"/>
      <c r="H38" s="33"/>
      <c r="J38" s="186"/>
    </row>
    <row r="39" spans="1:10" s="25" customFormat="1" x14ac:dyDescent="0.2">
      <c r="A39" s="33"/>
      <c r="B39" s="34"/>
      <c r="C39" s="44"/>
      <c r="D39" s="195"/>
      <c r="E39" s="195"/>
      <c r="F39" s="44"/>
      <c r="H39" s="33"/>
      <c r="J39" s="186"/>
    </row>
    <row r="40" spans="1:10" s="25" customFormat="1" x14ac:dyDescent="0.2">
      <c r="A40" s="33"/>
      <c r="B40" s="34"/>
      <c r="C40" s="44"/>
      <c r="D40" s="195"/>
      <c r="E40" s="195"/>
      <c r="F40" s="44"/>
      <c r="H40" s="33"/>
      <c r="J40" s="186"/>
    </row>
    <row r="41" spans="1:10" s="25" customFormat="1" x14ac:dyDescent="0.2">
      <c r="A41" s="33"/>
      <c r="B41" s="34"/>
      <c r="C41" s="44"/>
      <c r="D41" s="195"/>
      <c r="E41" s="195"/>
      <c r="F41" s="44"/>
      <c r="H41" s="33"/>
      <c r="J41" s="186"/>
    </row>
    <row r="42" spans="1:10" s="25" customFormat="1" x14ac:dyDescent="0.2">
      <c r="A42" s="33"/>
      <c r="B42" s="34"/>
      <c r="C42" s="44"/>
      <c r="D42" s="195"/>
      <c r="E42" s="195"/>
      <c r="F42" s="44"/>
      <c r="H42" s="33"/>
      <c r="J42" s="186"/>
    </row>
    <row r="43" spans="1:10" s="25" customFormat="1" x14ac:dyDescent="0.2">
      <c r="A43" s="172" t="s">
        <v>34</v>
      </c>
      <c r="B43" s="172"/>
      <c r="C43" s="172"/>
      <c r="G43" s="275" t="s">
        <v>35</v>
      </c>
      <c r="H43" s="275"/>
      <c r="J43" s="186"/>
    </row>
    <row r="44" spans="1:10" s="25" customFormat="1" x14ac:dyDescent="0.2">
      <c r="A44" s="173" t="s">
        <v>36</v>
      </c>
      <c r="B44" s="173"/>
      <c r="C44" s="173"/>
      <c r="G44" s="272" t="s">
        <v>37</v>
      </c>
      <c r="H44" s="272"/>
      <c r="J44" s="186"/>
    </row>
    <row r="45" spans="1:10" s="25" customFormat="1" x14ac:dyDescent="0.2">
      <c r="A45" s="21"/>
      <c r="B45" s="21"/>
      <c r="C45" s="46"/>
      <c r="D45" s="198"/>
      <c r="E45" s="198"/>
      <c r="F45" s="46"/>
      <c r="G45" s="272" t="s">
        <v>38</v>
      </c>
      <c r="H45" s="272"/>
      <c r="J45" s="186"/>
    </row>
    <row r="46" spans="1:10" s="25" customFormat="1" x14ac:dyDescent="0.2">
      <c r="A46" s="33"/>
      <c r="B46" s="34"/>
      <c r="C46" s="44"/>
      <c r="D46" s="195"/>
      <c r="E46" s="195"/>
      <c r="F46" s="44"/>
      <c r="H46" s="33"/>
      <c r="J46" s="186"/>
    </row>
    <row r="47" spans="1:10" s="25" customFormat="1" x14ac:dyDescent="0.2">
      <c r="A47" s="33"/>
      <c r="B47" s="34"/>
      <c r="C47" s="44"/>
      <c r="D47" s="195"/>
      <c r="E47" s="195"/>
      <c r="F47" s="44"/>
      <c r="H47" s="33"/>
      <c r="J47" s="186"/>
    </row>
    <row r="48" spans="1:10" s="25" customFormat="1" x14ac:dyDescent="0.2">
      <c r="A48" s="33"/>
      <c r="B48" s="34"/>
      <c r="C48" s="44"/>
      <c r="D48" s="195"/>
      <c r="E48" s="195"/>
      <c r="F48" s="44"/>
      <c r="H48" s="33"/>
      <c r="J48" s="186"/>
    </row>
    <row r="49" spans="1:10" s="25" customFormat="1" x14ac:dyDescent="0.2">
      <c r="A49" s="33"/>
      <c r="B49" s="34"/>
      <c r="C49" s="44"/>
      <c r="D49" s="195"/>
      <c r="E49" s="195"/>
      <c r="F49" s="44"/>
      <c r="H49" s="33"/>
      <c r="J49" s="186"/>
    </row>
    <row r="50" spans="1:10" s="39" customFormat="1" ht="12.75" x14ac:dyDescent="0.2">
      <c r="A50" s="289" t="s">
        <v>0</v>
      </c>
      <c r="B50" s="289"/>
      <c r="C50" s="289"/>
      <c r="D50" s="289"/>
      <c r="E50" s="289"/>
      <c r="F50" s="289"/>
      <c r="G50" s="289"/>
      <c r="H50" s="289"/>
      <c r="J50" s="186"/>
    </row>
    <row r="51" spans="1:10" s="39" customFormat="1" ht="12.75" x14ac:dyDescent="0.2">
      <c r="A51" s="289" t="s">
        <v>62</v>
      </c>
      <c r="B51" s="289"/>
      <c r="C51" s="289"/>
      <c r="D51" s="289"/>
      <c r="E51" s="289"/>
      <c r="F51" s="289"/>
      <c r="G51" s="289"/>
      <c r="H51" s="289"/>
      <c r="J51" s="186"/>
    </row>
    <row r="52" spans="1:10" s="39" customFormat="1" ht="12.75" x14ac:dyDescent="0.2">
      <c r="A52" s="289" t="s">
        <v>364</v>
      </c>
      <c r="B52" s="289"/>
      <c r="C52" s="289"/>
      <c r="D52" s="289"/>
      <c r="E52" s="289"/>
      <c r="F52" s="289"/>
      <c r="G52" s="289"/>
      <c r="H52" s="289"/>
      <c r="J52" s="186"/>
    </row>
    <row r="53" spans="1:10" s="39" customFormat="1" ht="12.75" x14ac:dyDescent="0.2">
      <c r="A53" s="179"/>
      <c r="B53" s="179"/>
      <c r="C53" s="179"/>
      <c r="D53" s="180"/>
      <c r="E53" s="180"/>
      <c r="F53" s="179"/>
      <c r="G53" s="179"/>
      <c r="H53" s="179"/>
      <c r="J53" s="186"/>
    </row>
    <row r="54" spans="1:10" s="39" customFormat="1" ht="12.75" x14ac:dyDescent="0.2">
      <c r="A54" s="179"/>
      <c r="B54" s="179"/>
      <c r="C54" s="179"/>
      <c r="D54" s="180"/>
      <c r="E54" s="180"/>
      <c r="F54" s="179"/>
      <c r="G54" s="179"/>
      <c r="H54" s="179"/>
      <c r="J54" s="186"/>
    </row>
    <row r="55" spans="1:10" s="25" customFormat="1" x14ac:dyDescent="0.2">
      <c r="A55" s="33"/>
      <c r="B55" s="34"/>
      <c r="C55" s="44"/>
      <c r="D55" s="195"/>
      <c r="E55" s="195"/>
      <c r="F55" s="44"/>
      <c r="H55" s="33"/>
      <c r="J55" s="186"/>
    </row>
    <row r="56" spans="1:10" s="25" customFormat="1" x14ac:dyDescent="0.2">
      <c r="A56" s="281" t="s">
        <v>1</v>
      </c>
      <c r="B56" s="281"/>
      <c r="C56" s="170">
        <v>2013</v>
      </c>
      <c r="D56" s="182"/>
      <c r="E56" s="182"/>
      <c r="F56" s="170">
        <v>2012</v>
      </c>
      <c r="G56" s="78"/>
      <c r="H56" s="79" t="s">
        <v>342</v>
      </c>
      <c r="I56" s="22" t="s">
        <v>111</v>
      </c>
      <c r="J56" s="186"/>
    </row>
    <row r="57" spans="1:10" s="25" customFormat="1" x14ac:dyDescent="0.2">
      <c r="A57" s="169"/>
      <c r="B57" s="169"/>
      <c r="C57" s="170"/>
      <c r="D57" s="182"/>
      <c r="E57" s="182"/>
      <c r="F57" s="170"/>
      <c r="G57" s="78"/>
      <c r="H57" s="79"/>
      <c r="I57" s="22"/>
      <c r="J57" s="186"/>
    </row>
    <row r="58" spans="1:10" s="25" customFormat="1" x14ac:dyDescent="0.2">
      <c r="C58" s="49"/>
      <c r="D58" s="182"/>
      <c r="E58" s="182"/>
      <c r="F58" s="49"/>
      <c r="H58" s="33"/>
      <c r="J58" s="186"/>
    </row>
    <row r="59" spans="1:10" s="25" customFormat="1" x14ac:dyDescent="0.2">
      <c r="A59" s="27" t="s">
        <v>5</v>
      </c>
      <c r="B59" s="27"/>
      <c r="C59" s="43"/>
      <c r="D59" s="184"/>
      <c r="E59" s="184"/>
      <c r="F59" s="43"/>
      <c r="H59" s="33"/>
      <c r="J59" s="186"/>
    </row>
    <row r="60" spans="1:10" s="25" customFormat="1" x14ac:dyDescent="0.2">
      <c r="A60" s="27" t="s">
        <v>7</v>
      </c>
      <c r="B60" s="27"/>
      <c r="C60" s="43"/>
      <c r="D60" s="184"/>
      <c r="E60" s="184"/>
      <c r="F60" s="43"/>
      <c r="H60" s="33"/>
      <c r="J60" s="186"/>
    </row>
    <row r="61" spans="1:10" s="25" customFormat="1" x14ac:dyDescent="0.2">
      <c r="A61" s="21" t="s">
        <v>349</v>
      </c>
      <c r="B61" s="21"/>
      <c r="C61" s="47">
        <f>7956143+4629991</f>
        <v>12586134</v>
      </c>
      <c r="D61" s="193">
        <v>5.2999999999999999E-2</v>
      </c>
      <c r="E61" s="193"/>
      <c r="F61" s="47">
        <v>3641055</v>
      </c>
      <c r="G61" s="193">
        <v>0.26690000000000003</v>
      </c>
      <c r="H61" s="47">
        <f>+C61-F61</f>
        <v>8945079</v>
      </c>
      <c r="I61" s="186">
        <f t="shared" ref="I61:I62" si="9">(1-(C61/F61))*-1</f>
        <v>2.4567272397697919</v>
      </c>
      <c r="J61" s="186"/>
    </row>
    <row r="62" spans="1:10" s="25" customFormat="1" x14ac:dyDescent="0.2">
      <c r="A62" s="21"/>
      <c r="B62" s="175" t="s">
        <v>15</v>
      </c>
      <c r="C62" s="43">
        <f>SUM(C61:C61)</f>
        <v>12586134</v>
      </c>
      <c r="D62" s="192">
        <f>C62/$C$75</f>
        <v>0.30269112536913989</v>
      </c>
      <c r="E62" s="192"/>
      <c r="F62" s="43">
        <f>SUM(F61:F61)</f>
        <v>3641055</v>
      </c>
      <c r="G62" s="192">
        <f>F62/$F$75</f>
        <v>5.3034786419862243E-2</v>
      </c>
      <c r="H62" s="43">
        <f t="shared" ref="H62" si="10">+C62-F62</f>
        <v>8945079</v>
      </c>
      <c r="I62" s="186">
        <f t="shared" si="9"/>
        <v>2.4567272397697919</v>
      </c>
      <c r="J62" s="186"/>
    </row>
    <row r="63" spans="1:10" s="25" customFormat="1" x14ac:dyDescent="0.2">
      <c r="C63" s="46"/>
      <c r="D63" s="185"/>
      <c r="E63" s="185"/>
      <c r="F63" s="46"/>
      <c r="G63" s="185"/>
      <c r="H63" s="46"/>
      <c r="J63" s="186"/>
    </row>
    <row r="64" spans="1:10" s="25" customFormat="1" x14ac:dyDescent="0.2">
      <c r="A64" s="27" t="s">
        <v>17</v>
      </c>
      <c r="B64" s="21"/>
      <c r="C64" s="45"/>
      <c r="D64" s="189"/>
      <c r="E64" s="189"/>
      <c r="F64" s="45"/>
      <c r="G64" s="189"/>
      <c r="H64" s="45"/>
      <c r="J64" s="186"/>
    </row>
    <row r="65" spans="1:10" s="25" customFormat="1" x14ac:dyDescent="0.2">
      <c r="A65" s="27" t="s">
        <v>350</v>
      </c>
      <c r="B65" s="21"/>
      <c r="C65" s="45"/>
      <c r="D65" s="189"/>
      <c r="E65" s="189"/>
      <c r="F65" s="45"/>
      <c r="G65" s="189"/>
      <c r="H65" s="45"/>
      <c r="J65" s="186"/>
    </row>
    <row r="66" spans="1:10" s="25" customFormat="1" x14ac:dyDescent="0.2">
      <c r="A66" s="21" t="s">
        <v>351</v>
      </c>
      <c r="B66" s="21"/>
      <c r="C66" s="47">
        <v>16004050</v>
      </c>
      <c r="D66" s="193">
        <f t="shared" ref="D66:D68" si="11">C66/$C$75</f>
        <v>0.38489053945905732</v>
      </c>
      <c r="E66" s="193"/>
      <c r="F66" s="47">
        <v>1028925</v>
      </c>
      <c r="G66" s="193">
        <f t="shared" ref="G66:G68" si="12">F66/$F$75</f>
        <v>1.4987089625687268E-2</v>
      </c>
      <c r="H66" s="47">
        <f t="shared" ref="H66:H68" si="13">+C66-F66</f>
        <v>14975125</v>
      </c>
      <c r="I66" s="186">
        <f t="shared" ref="I66:I68" si="14">(1-(C66/F66))*-1</f>
        <v>14.554146317758827</v>
      </c>
      <c r="J66" s="186"/>
    </row>
    <row r="67" spans="1:10" s="25" customFormat="1" x14ac:dyDescent="0.2">
      <c r="A67" s="21"/>
      <c r="B67" s="175" t="s">
        <v>18</v>
      </c>
      <c r="C67" s="43">
        <f>SUM(C66:C66)</f>
        <v>16004050</v>
      </c>
      <c r="D67" s="192">
        <f t="shared" si="11"/>
        <v>0.38489053945905732</v>
      </c>
      <c r="E67" s="192"/>
      <c r="F67" s="43">
        <f>SUM(F66:F66)</f>
        <v>1028925</v>
      </c>
      <c r="G67" s="192">
        <f t="shared" si="12"/>
        <v>1.4987089625687268E-2</v>
      </c>
      <c r="H67" s="43">
        <f t="shared" si="13"/>
        <v>14975125</v>
      </c>
      <c r="I67" s="188">
        <f t="shared" si="14"/>
        <v>14.554146317758827</v>
      </c>
      <c r="J67" s="186"/>
    </row>
    <row r="68" spans="1:10" s="25" customFormat="1" ht="12.75" thickBot="1" x14ac:dyDescent="0.25">
      <c r="A68" s="21"/>
      <c r="B68" s="175" t="s">
        <v>19</v>
      </c>
      <c r="C68" s="48">
        <f>C62+C67</f>
        <v>28590184</v>
      </c>
      <c r="D68" s="194">
        <f t="shared" si="11"/>
        <v>0.68758166482819716</v>
      </c>
      <c r="E68" s="194"/>
      <c r="F68" s="48">
        <f>F62+F67</f>
        <v>4669980</v>
      </c>
      <c r="G68" s="194">
        <f t="shared" si="12"/>
        <v>6.8021876045549504E-2</v>
      </c>
      <c r="H68" s="48">
        <f t="shared" si="13"/>
        <v>23920204</v>
      </c>
      <c r="I68" s="188">
        <f t="shared" si="14"/>
        <v>5.1221212938813441</v>
      </c>
      <c r="J68" s="186"/>
    </row>
    <row r="69" spans="1:10" s="25" customFormat="1" ht="12.75" thickTop="1" x14ac:dyDescent="0.2">
      <c r="A69" s="21"/>
      <c r="B69" s="175"/>
      <c r="C69" s="45"/>
      <c r="D69" s="189"/>
      <c r="E69" s="189"/>
      <c r="F69" s="45"/>
      <c r="G69" s="189"/>
      <c r="H69" s="45"/>
      <c r="J69" s="186"/>
    </row>
    <row r="70" spans="1:10" s="25" customFormat="1" x14ac:dyDescent="0.2">
      <c r="A70" s="27" t="s">
        <v>22</v>
      </c>
      <c r="B70" s="27"/>
      <c r="C70" s="44"/>
      <c r="D70" s="187"/>
      <c r="E70" s="187"/>
      <c r="F70" s="44"/>
      <c r="G70" s="187"/>
      <c r="H70" s="44"/>
      <c r="J70" s="186"/>
    </row>
    <row r="71" spans="1:10" s="25" customFormat="1" x14ac:dyDescent="0.2">
      <c r="A71" s="21" t="s">
        <v>24</v>
      </c>
      <c r="B71" s="21"/>
      <c r="C71" s="45">
        <v>63969210</v>
      </c>
      <c r="D71" s="189">
        <f>C71/$C$75</f>
        <v>1.5384320684870221</v>
      </c>
      <c r="E71" s="189"/>
      <c r="F71" s="45">
        <v>53460787</v>
      </c>
      <c r="G71" s="189">
        <f>F71/$F$75</f>
        <v>0.77869777314068256</v>
      </c>
      <c r="H71" s="45">
        <f t="shared" ref="H71:H75" si="15">+C71-F71</f>
        <v>10508423</v>
      </c>
      <c r="I71" s="186">
        <f t="shared" ref="I71:I75" si="16">(1-(C71/F71))*-1</f>
        <v>0.19656319313069592</v>
      </c>
      <c r="J71" s="186"/>
    </row>
    <row r="72" spans="1:10" s="25" customFormat="1" x14ac:dyDescent="0.2">
      <c r="A72" s="25" t="s">
        <v>150</v>
      </c>
      <c r="C72" s="45">
        <v>3182040</v>
      </c>
      <c r="D72" s="189">
        <f>C72/$C$75</f>
        <v>7.6526697440978925E-2</v>
      </c>
      <c r="E72" s="189"/>
      <c r="F72" s="45">
        <v>3059748</v>
      </c>
      <c r="G72" s="189">
        <f>F72/$F$75</f>
        <v>4.4567599687068901E-2</v>
      </c>
      <c r="H72" s="45">
        <f t="shared" si="15"/>
        <v>122292</v>
      </c>
      <c r="I72" s="199" t="s">
        <v>352</v>
      </c>
      <c r="J72" s="186"/>
    </row>
    <row r="73" spans="1:10" s="25" customFormat="1" x14ac:dyDescent="0.2">
      <c r="A73" s="21" t="s">
        <v>366</v>
      </c>
      <c r="B73" s="21"/>
      <c r="C73" s="47">
        <f>'ER COMPARATIVO'!C32</f>
        <v>-54160651</v>
      </c>
      <c r="D73" s="193">
        <f>C73/$C$75</f>
        <v>-1.3025404307561981</v>
      </c>
      <c r="E73" s="193"/>
      <c r="F73" s="47">
        <f>'ER COMPARATIVO'!F32</f>
        <v>7463575</v>
      </c>
      <c r="G73" s="193">
        <f>F73/$F$75</f>
        <v>0.10871275112669908</v>
      </c>
      <c r="H73" s="47">
        <f t="shared" si="15"/>
        <v>-61624226</v>
      </c>
      <c r="I73" s="186">
        <f>(1-(C73/F73))*1</f>
        <v>8.2566633282307738</v>
      </c>
      <c r="J73" s="186"/>
    </row>
    <row r="74" spans="1:10" s="25" customFormat="1" ht="12.75" thickBot="1" x14ac:dyDescent="0.25">
      <c r="A74" s="21"/>
      <c r="B74" s="175" t="s">
        <v>26</v>
      </c>
      <c r="C74" s="48">
        <f>SUM(C71:C73)</f>
        <v>12990599</v>
      </c>
      <c r="D74" s="194">
        <f>C74/$C$75</f>
        <v>0.31241833517180279</v>
      </c>
      <c r="E74" s="194"/>
      <c r="F74" s="48">
        <f>SUM(F71:F73)</f>
        <v>63984110</v>
      </c>
      <c r="G74" s="194">
        <f>F74/$F$75</f>
        <v>0.93197812395445045</v>
      </c>
      <c r="H74" s="48">
        <f t="shared" si="15"/>
        <v>-50993511</v>
      </c>
      <c r="I74" s="188">
        <f t="shared" si="16"/>
        <v>-0.79697148245087723</v>
      </c>
      <c r="J74" s="186"/>
    </row>
    <row r="75" spans="1:10" s="25" customFormat="1" ht="13.5" thickTop="1" thickBot="1" x14ac:dyDescent="0.25">
      <c r="A75" s="33"/>
      <c r="B75" s="175" t="s">
        <v>28</v>
      </c>
      <c r="C75" s="48">
        <f>C68+C74</f>
        <v>41580783</v>
      </c>
      <c r="D75" s="194">
        <f>C75/$C$75</f>
        <v>1</v>
      </c>
      <c r="E75" s="194"/>
      <c r="F75" s="48">
        <f>F68+F74</f>
        <v>68654090</v>
      </c>
      <c r="G75" s="194">
        <f>F75/$F$75</f>
        <v>1</v>
      </c>
      <c r="H75" s="48">
        <f t="shared" si="15"/>
        <v>-27073307</v>
      </c>
      <c r="I75" s="188">
        <f t="shared" si="16"/>
        <v>-0.39434368731709935</v>
      </c>
      <c r="J75" s="186"/>
    </row>
    <row r="76" spans="1:10" s="25" customFormat="1" ht="12.75" thickTop="1" x14ac:dyDescent="0.2">
      <c r="A76" s="33"/>
      <c r="B76" s="175"/>
      <c r="C76" s="44"/>
      <c r="D76" s="195"/>
      <c r="E76" s="195"/>
      <c r="F76" s="44"/>
      <c r="H76" s="33"/>
      <c r="J76" s="186"/>
    </row>
    <row r="77" spans="1:10" s="25" customFormat="1" x14ac:dyDescent="0.2">
      <c r="A77" s="33"/>
      <c r="B77" s="175"/>
      <c r="C77" s="44"/>
      <c r="D77" s="195"/>
      <c r="E77" s="195"/>
      <c r="F77" s="44"/>
      <c r="H77" s="33"/>
      <c r="J77" s="186"/>
    </row>
    <row r="78" spans="1:10" s="33" customFormat="1" x14ac:dyDescent="0.2">
      <c r="A78" s="33" t="s">
        <v>30</v>
      </c>
      <c r="J78" s="186"/>
    </row>
    <row r="79" spans="1:10" s="33" customFormat="1" x14ac:dyDescent="0.2">
      <c r="A79" s="25" t="s">
        <v>347</v>
      </c>
      <c r="B79" s="25"/>
      <c r="C79" s="45">
        <v>0</v>
      </c>
      <c r="D79" s="196">
        <f>+C79/$C$83</f>
        <v>0</v>
      </c>
      <c r="E79" s="196"/>
      <c r="F79" s="45">
        <v>34719636</v>
      </c>
      <c r="G79" s="196">
        <f>+F79/$F$83</f>
        <v>1.9926506836807131E-3</v>
      </c>
      <c r="H79" s="45">
        <f>C79-F79</f>
        <v>-34719636</v>
      </c>
      <c r="I79" s="186">
        <f t="shared" ref="I79:I83" si="17">(1-(C79/F79))*-1</f>
        <v>-1</v>
      </c>
      <c r="J79" s="186"/>
    </row>
    <row r="80" spans="1:10" s="33" customFormat="1" x14ac:dyDescent="0.2">
      <c r="A80" s="25" t="s">
        <v>202</v>
      </c>
      <c r="B80" s="25"/>
      <c r="C80" s="46">
        <v>17478753531</v>
      </c>
      <c r="D80" s="196">
        <f>+C80/$C$83</f>
        <v>0.95684226074492107</v>
      </c>
      <c r="E80" s="196"/>
      <c r="F80" s="46">
        <v>16646431934</v>
      </c>
      <c r="G80" s="196">
        <f>+F80/$F$83</f>
        <v>0.95538225038216285</v>
      </c>
      <c r="H80" s="45">
        <f t="shared" ref="H80:H82" si="18">C80-F80</f>
        <v>832321597</v>
      </c>
      <c r="I80" s="186">
        <f t="shared" si="17"/>
        <v>5.0000000018021851E-2</v>
      </c>
      <c r="J80" s="186"/>
    </row>
    <row r="81" spans="1:10" s="25" customFormat="1" x14ac:dyDescent="0.2">
      <c r="A81" s="25" t="s">
        <v>31</v>
      </c>
      <c r="C81" s="45">
        <v>759665550</v>
      </c>
      <c r="D81" s="196">
        <f>+C81/$C$83</f>
        <v>4.1586495340348646E-2</v>
      </c>
      <c r="E81" s="196"/>
      <c r="F81" s="45">
        <v>723491000</v>
      </c>
      <c r="G81" s="196">
        <f>+F81/$F$83</f>
        <v>4.1523040039556945E-2</v>
      </c>
      <c r="H81" s="45">
        <f t="shared" si="18"/>
        <v>36174550</v>
      </c>
      <c r="I81" s="186">
        <f t="shared" si="17"/>
        <v>5.0000000000000044E-2</v>
      </c>
      <c r="J81" s="186"/>
    </row>
    <row r="82" spans="1:10" s="25" customFormat="1" x14ac:dyDescent="0.2">
      <c r="A82" s="25" t="s">
        <v>32</v>
      </c>
      <c r="C82" s="47">
        <v>28702103</v>
      </c>
      <c r="D82" s="197">
        <f>+C82/$C$83</f>
        <v>1.5712439147302479E-3</v>
      </c>
      <c r="E82" s="197"/>
      <c r="F82" s="47">
        <v>19202103</v>
      </c>
      <c r="G82" s="197">
        <f>+F82/$F$83</f>
        <v>1.1020588945995133E-3</v>
      </c>
      <c r="H82" s="47">
        <f t="shared" si="18"/>
        <v>9500000</v>
      </c>
      <c r="I82" s="186">
        <f t="shared" si="17"/>
        <v>0.49473747745233942</v>
      </c>
      <c r="J82" s="186"/>
    </row>
    <row r="83" spans="1:10" s="25" customFormat="1" x14ac:dyDescent="0.2">
      <c r="A83" s="33"/>
      <c r="B83" s="34" t="s">
        <v>353</v>
      </c>
      <c r="C83" s="43">
        <f>SUM(C79:C82)</f>
        <v>18267121184</v>
      </c>
      <c r="D83" s="195">
        <f>C83/$C$83</f>
        <v>1</v>
      </c>
      <c r="E83" s="195"/>
      <c r="F83" s="44">
        <f>SUM(F79:F82)</f>
        <v>17423844673</v>
      </c>
      <c r="G83" s="195">
        <f>+F83/$F$83</f>
        <v>1</v>
      </c>
      <c r="H83" s="44">
        <f>C83-F83</f>
        <v>843276511</v>
      </c>
      <c r="I83" s="188">
        <f t="shared" si="17"/>
        <v>4.8397843692141063E-2</v>
      </c>
    </row>
    <row r="84" spans="1:10" s="25" customFormat="1" x14ac:dyDescent="0.2">
      <c r="A84" s="21"/>
      <c r="B84" s="21"/>
      <c r="C84" s="46"/>
      <c r="D84" s="198"/>
      <c r="E84" s="198"/>
      <c r="F84" s="46"/>
    </row>
    <row r="85" spans="1:10" s="25" customFormat="1" x14ac:dyDescent="0.2">
      <c r="A85" s="21"/>
      <c r="B85" s="21"/>
      <c r="C85" s="46"/>
      <c r="D85" s="198"/>
      <c r="E85" s="198"/>
      <c r="F85" s="46"/>
    </row>
    <row r="86" spans="1:10" s="25" customFormat="1" x14ac:dyDescent="0.2">
      <c r="A86" s="21"/>
      <c r="B86" s="21"/>
      <c r="C86" s="46"/>
      <c r="D86" s="198"/>
      <c r="E86" s="198"/>
      <c r="F86" s="46"/>
    </row>
    <row r="87" spans="1:10" s="25" customFormat="1" x14ac:dyDescent="0.2">
      <c r="A87" s="21"/>
      <c r="B87" s="21"/>
      <c r="C87" s="46"/>
      <c r="D87" s="198"/>
      <c r="E87" s="198"/>
      <c r="F87" s="46"/>
    </row>
    <row r="88" spans="1:10" s="80" customFormat="1" x14ac:dyDescent="0.2">
      <c r="A88" s="21"/>
      <c r="B88" s="21"/>
      <c r="C88" s="46"/>
      <c r="D88" s="198"/>
      <c r="E88" s="198"/>
      <c r="F88" s="46"/>
      <c r="G88" s="25"/>
      <c r="H88" s="25"/>
    </row>
    <row r="89" spans="1:10" s="25" customFormat="1" x14ac:dyDescent="0.2">
      <c r="A89" s="290"/>
      <c r="B89" s="290"/>
      <c r="C89" s="45"/>
      <c r="D89" s="200"/>
      <c r="E89" s="200"/>
      <c r="F89" s="45"/>
      <c r="G89" s="80"/>
      <c r="H89" s="80"/>
    </row>
    <row r="90" spans="1:10" s="25" customFormat="1" x14ac:dyDescent="0.2">
      <c r="A90" s="172" t="s">
        <v>34</v>
      </c>
      <c r="B90" s="172"/>
      <c r="C90" s="172"/>
      <c r="G90" s="275" t="s">
        <v>35</v>
      </c>
      <c r="H90" s="275"/>
    </row>
    <row r="91" spans="1:10" x14ac:dyDescent="0.2">
      <c r="A91" s="173" t="s">
        <v>36</v>
      </c>
      <c r="B91" s="173"/>
      <c r="C91" s="173"/>
      <c r="D91" s="25"/>
      <c r="E91" s="25"/>
      <c r="F91" s="25"/>
      <c r="G91" s="272" t="s">
        <v>37</v>
      </c>
      <c r="H91" s="272"/>
    </row>
    <row r="92" spans="1:10" x14ac:dyDescent="0.2">
      <c r="G92" s="272" t="s">
        <v>38</v>
      </c>
      <c r="H92" s="272"/>
    </row>
  </sheetData>
  <mergeCells count="15">
    <mergeCell ref="G44:H44"/>
    <mergeCell ref="A3:H3"/>
    <mergeCell ref="A4:H4"/>
    <mergeCell ref="A5:H5"/>
    <mergeCell ref="A9:B9"/>
    <mergeCell ref="G43:H43"/>
    <mergeCell ref="G90:H90"/>
    <mergeCell ref="G91:H91"/>
    <mergeCell ref="G92:H92"/>
    <mergeCell ref="G45:H45"/>
    <mergeCell ref="A50:H50"/>
    <mergeCell ref="A51:H51"/>
    <mergeCell ref="A52:H52"/>
    <mergeCell ref="A56:B56"/>
    <mergeCell ref="A89:B89"/>
  </mergeCells>
  <printOptions horizontalCentered="1" verticalCentered="1"/>
  <pageMargins left="0.39370078740157483" right="0.39370078740157483" top="0.39370078740157483" bottom="0.39370078740157483" header="0" footer="0"/>
  <pageSetup paperSize="125" orientation="landscape" horizontalDpi="4294967292" verticalDpi="30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B16" workbookViewId="0">
      <selection activeCell="F34" sqref="F34"/>
    </sheetView>
  </sheetViews>
  <sheetFormatPr baseColWidth="10" defaultColWidth="11.42578125" defaultRowHeight="12" x14ac:dyDescent="0.2"/>
  <cols>
    <col min="1" max="1" width="17.42578125" style="21" customWidth="1"/>
    <col min="2" max="2" width="21" style="21" customWidth="1"/>
    <col min="3" max="3" width="17.7109375" style="21" customWidth="1"/>
    <col min="4" max="4" width="7.7109375" style="186" bestFit="1" customWidth="1"/>
    <col min="5" max="5" width="1.28515625" style="29" customWidth="1"/>
    <col min="6" max="6" width="15" style="29" customWidth="1"/>
    <col min="7" max="7" width="8.7109375" style="186" customWidth="1"/>
    <col min="8" max="8" width="20.85546875" style="25" bestFit="1" customWidth="1"/>
    <col min="9" max="9" width="10.7109375" style="186" customWidth="1"/>
    <col min="10" max="10" width="12.7109375" style="21" bestFit="1" customWidth="1"/>
    <col min="11" max="11" width="12.7109375" style="25" hidden="1" customWidth="1"/>
    <col min="12" max="12" width="11.7109375" style="25" hidden="1" customWidth="1"/>
    <col min="13" max="15" width="0" style="25" hidden="1" customWidth="1"/>
    <col min="16" max="16384" width="11.42578125" style="21"/>
  </cols>
  <sheetData>
    <row r="1" spans="1:15" ht="12.75" x14ac:dyDescent="0.2">
      <c r="A1" s="282" t="s">
        <v>0</v>
      </c>
      <c r="B1" s="282"/>
      <c r="C1" s="282"/>
      <c r="D1" s="282"/>
      <c r="E1" s="282"/>
      <c r="F1" s="282"/>
      <c r="G1" s="282"/>
      <c r="H1" s="282"/>
    </row>
    <row r="2" spans="1:15" ht="12.75" x14ac:dyDescent="0.2">
      <c r="A2" s="282" t="s">
        <v>62</v>
      </c>
      <c r="B2" s="282"/>
      <c r="C2" s="282"/>
      <c r="D2" s="282"/>
      <c r="E2" s="282"/>
      <c r="F2" s="282"/>
      <c r="G2" s="282"/>
      <c r="H2" s="282"/>
    </row>
    <row r="3" spans="1:15" x14ac:dyDescent="0.2">
      <c r="A3" s="278" t="s">
        <v>39</v>
      </c>
      <c r="B3" s="278"/>
      <c r="C3" s="278"/>
      <c r="D3" s="278"/>
      <c r="E3" s="278"/>
      <c r="F3" s="278"/>
      <c r="G3" s="278"/>
      <c r="H3" s="278"/>
    </row>
    <row r="4" spans="1:15" x14ac:dyDescent="0.2">
      <c r="A4" s="278" t="s">
        <v>321</v>
      </c>
      <c r="B4" s="278"/>
      <c r="C4" s="278"/>
      <c r="D4" s="278"/>
      <c r="E4" s="278"/>
      <c r="F4" s="278"/>
      <c r="G4" s="278"/>
      <c r="H4" s="278"/>
    </row>
    <row r="5" spans="1:15" x14ac:dyDescent="0.2">
      <c r="A5" s="170"/>
      <c r="B5" s="170"/>
      <c r="C5" s="170"/>
      <c r="D5" s="201"/>
      <c r="E5" s="26"/>
      <c r="F5" s="26"/>
      <c r="G5" s="201"/>
    </row>
    <row r="6" spans="1:15" x14ac:dyDescent="0.2">
      <c r="A6" s="170"/>
      <c r="B6" s="170"/>
      <c r="C6" s="170"/>
      <c r="D6" s="201"/>
      <c r="E6" s="26"/>
      <c r="F6" s="26"/>
      <c r="G6" s="201"/>
    </row>
    <row r="7" spans="1:15" s="176" customFormat="1" x14ac:dyDescent="0.2">
      <c r="A7" s="202" t="s">
        <v>1</v>
      </c>
      <c r="B7" s="202"/>
      <c r="C7" s="203">
        <v>2013</v>
      </c>
      <c r="D7" s="204"/>
      <c r="E7" s="205"/>
      <c r="F7" s="203">
        <v>2012</v>
      </c>
      <c r="G7" s="206"/>
      <c r="H7" s="79" t="s">
        <v>342</v>
      </c>
      <c r="I7" s="206" t="s">
        <v>111</v>
      </c>
      <c r="J7" s="80"/>
      <c r="K7" s="80"/>
      <c r="L7" s="80"/>
      <c r="M7" s="80"/>
      <c r="N7" s="80"/>
    </row>
    <row r="8" spans="1:15" s="170" customFormat="1" x14ac:dyDescent="0.2">
      <c r="A8" s="176"/>
      <c r="B8" s="176"/>
      <c r="C8" s="172"/>
      <c r="D8" s="186"/>
      <c r="E8" s="29"/>
      <c r="F8" s="172"/>
      <c r="G8" s="201"/>
      <c r="H8" s="22"/>
      <c r="I8" s="201"/>
      <c r="J8" s="25"/>
      <c r="K8" s="25"/>
      <c r="L8" s="25"/>
      <c r="M8" s="25"/>
      <c r="N8" s="25"/>
    </row>
    <row r="9" spans="1:15" x14ac:dyDescent="0.2">
      <c r="A9" s="27" t="s">
        <v>41</v>
      </c>
      <c r="B9" s="27"/>
      <c r="C9" s="29"/>
      <c r="J9" s="25"/>
      <c r="O9" s="21"/>
    </row>
    <row r="10" spans="1:15" x14ac:dyDescent="0.2">
      <c r="A10" s="27"/>
      <c r="B10" s="27"/>
      <c r="C10" s="29"/>
      <c r="J10" s="25"/>
      <c r="O10" s="21"/>
    </row>
    <row r="11" spans="1:15" x14ac:dyDescent="0.2">
      <c r="A11" s="27" t="s">
        <v>354</v>
      </c>
      <c r="C11" s="28"/>
      <c r="J11" s="25"/>
      <c r="O11" s="21"/>
    </row>
    <row r="12" spans="1:15" x14ac:dyDescent="0.2">
      <c r="A12" s="21" t="s">
        <v>43</v>
      </c>
      <c r="C12" s="207">
        <v>318156000</v>
      </c>
      <c r="D12" s="193">
        <f>C12/$C$18</f>
        <v>0.82769519594475871</v>
      </c>
      <c r="E12" s="197"/>
      <c r="F12" s="207">
        <v>305964000</v>
      </c>
      <c r="G12" s="193">
        <f>F12/$F$18</f>
        <v>0.85282454382901152</v>
      </c>
      <c r="H12" s="29">
        <f>C12-F12</f>
        <v>12192000</v>
      </c>
      <c r="I12" s="186">
        <f>(1-(C12/F12))*-1</f>
        <v>3.9847825234341272E-2</v>
      </c>
      <c r="J12" s="25"/>
      <c r="O12" s="21"/>
    </row>
    <row r="13" spans="1:15" x14ac:dyDescent="0.2">
      <c r="B13" s="175" t="s">
        <v>355</v>
      </c>
      <c r="C13" s="208">
        <f>C12</f>
        <v>318156000</v>
      </c>
      <c r="D13" s="187">
        <f>C13/$C$18</f>
        <v>0.82769519594475871</v>
      </c>
      <c r="E13" s="209"/>
      <c r="F13" s="208">
        <f>F12</f>
        <v>305964000</v>
      </c>
      <c r="G13" s="187">
        <f>F13/$F$18</f>
        <v>0.85282454382901152</v>
      </c>
      <c r="H13" s="35">
        <f>C13-F13</f>
        <v>12192000</v>
      </c>
      <c r="I13" s="188">
        <f t="shared" ref="I13:I32" si="0">(1-(C13/F13))*-1</f>
        <v>3.9847825234341272E-2</v>
      </c>
      <c r="J13" s="25"/>
      <c r="O13" s="21"/>
    </row>
    <row r="14" spans="1:15" x14ac:dyDescent="0.2">
      <c r="B14" s="175"/>
      <c r="C14" s="208"/>
      <c r="D14" s="187"/>
      <c r="E14" s="209"/>
      <c r="F14" s="208"/>
      <c r="G14" s="187"/>
      <c r="H14" s="35"/>
      <c r="J14" s="25"/>
      <c r="O14" s="21"/>
    </row>
    <row r="15" spans="1:15" x14ac:dyDescent="0.2">
      <c r="A15" s="27" t="s">
        <v>356</v>
      </c>
      <c r="C15" s="210"/>
      <c r="D15" s="192"/>
      <c r="E15" s="211"/>
      <c r="F15" s="210"/>
      <c r="G15" s="192"/>
      <c r="H15" s="28"/>
      <c r="J15" s="25"/>
      <c r="O15" s="21"/>
    </row>
    <row r="16" spans="1:15" x14ac:dyDescent="0.2">
      <c r="A16" s="21" t="s">
        <v>357</v>
      </c>
      <c r="C16" s="207">
        <f>31134878+35097000</f>
        <v>66231878</v>
      </c>
      <c r="D16" s="193">
        <v>0.14699999999999999</v>
      </c>
      <c r="E16" s="197"/>
      <c r="F16" s="207">
        <v>52801472</v>
      </c>
      <c r="G16" s="193">
        <v>1.4999999999999999E-2</v>
      </c>
      <c r="H16" s="29">
        <f>C16-F16</f>
        <v>13430406</v>
      </c>
      <c r="I16" s="186">
        <f t="shared" si="0"/>
        <v>0.25435665884466241</v>
      </c>
      <c r="J16" s="25"/>
      <c r="O16" s="21"/>
    </row>
    <row r="17" spans="1:15" x14ac:dyDescent="0.2">
      <c r="B17" s="175" t="s">
        <v>358</v>
      </c>
      <c r="C17" s="208">
        <f>SUM(C16:C16)</f>
        <v>66231878</v>
      </c>
      <c r="D17" s="187">
        <f>C17/$C$18</f>
        <v>0.17230480405524132</v>
      </c>
      <c r="E17" s="209"/>
      <c r="F17" s="208">
        <f>SUM(F16:F16)</f>
        <v>52801472</v>
      </c>
      <c r="G17" s="187">
        <f>F17/$F$18</f>
        <v>0.14717545617098848</v>
      </c>
      <c r="H17" s="35">
        <f>C17-F17</f>
        <v>13430406</v>
      </c>
      <c r="I17" s="186">
        <f t="shared" si="0"/>
        <v>0.25435665884466241</v>
      </c>
      <c r="J17" s="25"/>
      <c r="O17" s="21"/>
    </row>
    <row r="18" spans="1:15" s="27" customFormat="1" x14ac:dyDescent="0.2">
      <c r="B18" s="175" t="s">
        <v>50</v>
      </c>
      <c r="C18" s="208">
        <f>C13+C17</f>
        <v>384387878</v>
      </c>
      <c r="D18" s="187">
        <f>C18/$C$18</f>
        <v>1</v>
      </c>
      <c r="E18" s="209"/>
      <c r="F18" s="208">
        <f>F13+F17</f>
        <v>358765472</v>
      </c>
      <c r="G18" s="187">
        <f>F18/$F$18</f>
        <v>1</v>
      </c>
      <c r="H18" s="35">
        <f>C18-F18</f>
        <v>25622406</v>
      </c>
      <c r="I18" s="188">
        <f t="shared" si="0"/>
        <v>7.1418260673647094E-2</v>
      </c>
      <c r="J18" s="33"/>
      <c r="K18" s="33"/>
      <c r="L18" s="33"/>
      <c r="M18" s="33"/>
      <c r="N18" s="33"/>
    </row>
    <row r="19" spans="1:15" x14ac:dyDescent="0.2">
      <c r="C19" s="138"/>
      <c r="D19" s="185"/>
      <c r="E19" s="212"/>
      <c r="F19" s="138"/>
      <c r="G19" s="185"/>
      <c r="J19" s="25"/>
      <c r="O19" s="21"/>
    </row>
    <row r="20" spans="1:15" x14ac:dyDescent="0.2">
      <c r="A20" s="27" t="s">
        <v>51</v>
      </c>
      <c r="B20" s="27"/>
      <c r="C20" s="138"/>
      <c r="D20" s="185"/>
      <c r="E20" s="212"/>
      <c r="F20" s="138"/>
      <c r="G20" s="185"/>
      <c r="H20" s="29"/>
      <c r="J20" s="25"/>
      <c r="O20" s="21"/>
    </row>
    <row r="21" spans="1:15" x14ac:dyDescent="0.2">
      <c r="A21" s="21" t="s">
        <v>359</v>
      </c>
      <c r="B21" s="27"/>
      <c r="C21" s="138">
        <f>438548529-C22-C23-C24-C27</f>
        <v>269989637</v>
      </c>
      <c r="D21" s="185">
        <v>0.73</v>
      </c>
      <c r="E21" s="212"/>
      <c r="F21" s="138">
        <f>260908678+1149268</f>
        <v>262057946</v>
      </c>
      <c r="G21" s="185">
        <v>0.70699999999999996</v>
      </c>
      <c r="H21" s="29">
        <f>C21-F21</f>
        <v>7931691</v>
      </c>
      <c r="I21" s="186">
        <f t="shared" si="0"/>
        <v>3.0266935695206998E-2</v>
      </c>
      <c r="J21" s="25"/>
      <c r="O21" s="21"/>
    </row>
    <row r="22" spans="1:15" x14ac:dyDescent="0.2">
      <c r="A22" s="76" t="s">
        <v>227</v>
      </c>
      <c r="B22" s="76"/>
      <c r="C22" s="213">
        <v>20455352</v>
      </c>
      <c r="D22" s="189">
        <f>C22/$C$18</f>
        <v>5.3215393020276253E-2</v>
      </c>
      <c r="E22" s="196"/>
      <c r="F22" s="213">
        <v>54192178</v>
      </c>
      <c r="G22" s="189">
        <f>F22/$F$18</f>
        <v>0.15105182139712708</v>
      </c>
      <c r="H22" s="32">
        <f>C22-F22</f>
        <v>-33736826</v>
      </c>
      <c r="I22" s="186">
        <v>0</v>
      </c>
      <c r="J22" s="25"/>
      <c r="O22" s="21"/>
    </row>
    <row r="23" spans="1:15" x14ac:dyDescent="0.2">
      <c r="A23" s="21" t="s">
        <v>100</v>
      </c>
      <c r="B23" s="76"/>
      <c r="C23" s="213">
        <v>3182040</v>
      </c>
      <c r="D23" s="189">
        <f>C23/$C$18</f>
        <v>8.2782006980979764E-3</v>
      </c>
      <c r="E23" s="196"/>
      <c r="F23" s="213">
        <v>3059748</v>
      </c>
      <c r="G23" s="189">
        <f>F23/$F$18</f>
        <v>8.5285464706035038E-3</v>
      </c>
      <c r="H23" s="32">
        <f>C23-F23</f>
        <v>122292</v>
      </c>
      <c r="I23" s="186">
        <f t="shared" si="0"/>
        <v>3.9967997364488861E-2</v>
      </c>
      <c r="J23" s="25"/>
      <c r="O23" s="21"/>
    </row>
    <row r="24" spans="1:15" x14ac:dyDescent="0.2">
      <c r="A24" s="21" t="s">
        <v>153</v>
      </c>
      <c r="B24" s="76"/>
      <c r="C24" s="207">
        <v>12000000</v>
      </c>
      <c r="D24" s="193">
        <f>C24/$C$18</f>
        <v>3.1218466259750263E-2</v>
      </c>
      <c r="E24" s="197"/>
      <c r="F24" s="207">
        <v>11856098</v>
      </c>
      <c r="G24" s="193">
        <f>F24/$F$18</f>
        <v>3.304693156202055E-2</v>
      </c>
      <c r="H24" s="32">
        <f>C24-F24</f>
        <v>143902</v>
      </c>
      <c r="I24" s="186">
        <f t="shared" si="0"/>
        <v>1.213738280503418E-2</v>
      </c>
      <c r="J24" s="25"/>
      <c r="O24" s="21"/>
    </row>
    <row r="25" spans="1:15" x14ac:dyDescent="0.2">
      <c r="B25" s="214" t="s">
        <v>360</v>
      </c>
      <c r="C25" s="208">
        <f>SUM(C21:C24)</f>
        <v>305627029</v>
      </c>
      <c r="D25" s="215">
        <f>C25/$C$18</f>
        <v>0.79510059107535125</v>
      </c>
      <c r="E25" s="209"/>
      <c r="F25" s="208">
        <f>SUM(F21:F24)</f>
        <v>331165970</v>
      </c>
      <c r="G25" s="187">
        <f>F25/$F$18</f>
        <v>0.92307090800532776</v>
      </c>
      <c r="H25" s="35">
        <f>C25-F25</f>
        <v>-25538941</v>
      </c>
      <c r="I25" s="188">
        <f t="shared" si="0"/>
        <v>-7.711825282048157E-2</v>
      </c>
      <c r="J25" s="25"/>
      <c r="O25" s="21"/>
    </row>
    <row r="26" spans="1:15" x14ac:dyDescent="0.2">
      <c r="B26" s="76"/>
      <c r="C26" s="213"/>
      <c r="D26" s="189"/>
      <c r="E26" s="196"/>
      <c r="F26" s="213"/>
      <c r="G26" s="189"/>
      <c r="H26" s="32"/>
      <c r="J26" s="25"/>
      <c r="O26" s="21"/>
    </row>
    <row r="27" spans="1:15" x14ac:dyDescent="0.2">
      <c r="A27" s="21" t="s">
        <v>361</v>
      </c>
      <c r="C27" s="207">
        <v>132921500</v>
      </c>
      <c r="D27" s="193">
        <f>C27/$C$18</f>
        <v>0.3458004469121162</v>
      </c>
      <c r="E27" s="197"/>
      <c r="F27" s="207">
        <v>20135927</v>
      </c>
      <c r="G27" s="193">
        <f>F27/$F$18</f>
        <v>5.6125598953959535E-2</v>
      </c>
      <c r="H27" s="32">
        <f>C27-F27</f>
        <v>112785573</v>
      </c>
      <c r="I27" s="186">
        <f t="shared" si="0"/>
        <v>5.6012108605677797</v>
      </c>
      <c r="J27" s="25"/>
      <c r="O27" s="21"/>
    </row>
    <row r="28" spans="1:15" x14ac:dyDescent="0.2">
      <c r="A28" s="27"/>
      <c r="B28" s="175" t="s">
        <v>362</v>
      </c>
      <c r="C28" s="210">
        <f>C27</f>
        <v>132921500</v>
      </c>
      <c r="D28" s="192">
        <f>D27</f>
        <v>0.3458004469121162</v>
      </c>
      <c r="E28" s="211"/>
      <c r="F28" s="210">
        <f t="shared" ref="F28:G28" si="1">F27</f>
        <v>20135927</v>
      </c>
      <c r="G28" s="192">
        <f t="shared" si="1"/>
        <v>5.6125598953959535E-2</v>
      </c>
      <c r="H28" s="28">
        <f>C28-F28</f>
        <v>112785573</v>
      </c>
      <c r="I28" s="188">
        <f t="shared" si="0"/>
        <v>5.6012108605677797</v>
      </c>
      <c r="J28" s="25"/>
      <c r="O28" s="21"/>
    </row>
    <row r="29" spans="1:15" x14ac:dyDescent="0.2">
      <c r="A29" s="27"/>
      <c r="B29" s="175"/>
      <c r="C29" s="210"/>
      <c r="D29" s="192"/>
      <c r="E29" s="211"/>
      <c r="F29" s="210"/>
      <c r="G29" s="192"/>
      <c r="H29" s="28"/>
      <c r="J29" s="25"/>
      <c r="O29" s="21"/>
    </row>
    <row r="30" spans="1:15" x14ac:dyDescent="0.2">
      <c r="B30" s="175" t="s">
        <v>184</v>
      </c>
      <c r="C30" s="216">
        <f>C25+C28</f>
        <v>438548529</v>
      </c>
      <c r="D30" s="215">
        <f>C30/$C$18</f>
        <v>1.1409010379874673</v>
      </c>
      <c r="E30" s="217"/>
      <c r="F30" s="216">
        <f>F25+F28</f>
        <v>351301897</v>
      </c>
      <c r="G30" s="215">
        <f>F30/$F$18</f>
        <v>0.97919650695928728</v>
      </c>
      <c r="H30" s="35">
        <f>C30-F30</f>
        <v>87246632</v>
      </c>
      <c r="I30" s="188">
        <f t="shared" si="0"/>
        <v>0.24835229398149261</v>
      </c>
      <c r="J30" s="25"/>
      <c r="O30" s="21"/>
    </row>
    <row r="31" spans="1:15" s="27" customFormat="1" x14ac:dyDescent="0.2">
      <c r="A31" s="21"/>
      <c r="B31" s="175"/>
      <c r="C31" s="218"/>
      <c r="D31" s="191"/>
      <c r="E31" s="219"/>
      <c r="F31" s="218"/>
      <c r="G31" s="191"/>
      <c r="H31" s="35"/>
      <c r="I31" s="186"/>
      <c r="J31" s="33"/>
      <c r="K31" s="33"/>
      <c r="L31" s="33"/>
      <c r="M31" s="33"/>
      <c r="N31" s="33"/>
    </row>
    <row r="32" spans="1:15" s="27" customFormat="1" x14ac:dyDescent="0.2">
      <c r="B32" s="175" t="s">
        <v>363</v>
      </c>
      <c r="C32" s="208">
        <f>C18-C30</f>
        <v>-54160651</v>
      </c>
      <c r="D32" s="187">
        <f>C32/$C$18</f>
        <v>-0.14090103798746745</v>
      </c>
      <c r="E32" s="209"/>
      <c r="F32" s="208">
        <f>F18-F30</f>
        <v>7463575</v>
      </c>
      <c r="G32" s="187">
        <f>F32/$F$18</f>
        <v>2.0803493040712679E-2</v>
      </c>
      <c r="H32" s="35">
        <f>C32-F32</f>
        <v>-61624226</v>
      </c>
      <c r="I32" s="188">
        <f t="shared" si="0"/>
        <v>-8.2566633282307738</v>
      </c>
      <c r="J32" s="33"/>
      <c r="K32" s="33"/>
      <c r="L32" s="33"/>
      <c r="M32" s="33"/>
      <c r="N32" s="33"/>
    </row>
    <row r="33" spans="1:15" x14ac:dyDescent="0.2">
      <c r="C33" s="29"/>
      <c r="J33" s="25"/>
      <c r="O33" s="21"/>
    </row>
    <row r="34" spans="1:15" x14ac:dyDescent="0.2">
      <c r="C34" s="29"/>
      <c r="J34" s="25"/>
      <c r="O34" s="21"/>
    </row>
    <row r="35" spans="1:15" s="27" customFormat="1" x14ac:dyDescent="0.2">
      <c r="A35" s="21"/>
      <c r="B35" s="21"/>
      <c r="C35" s="29"/>
      <c r="D35" s="186"/>
      <c r="E35" s="29"/>
      <c r="F35" s="29"/>
      <c r="G35" s="186"/>
      <c r="H35" s="25"/>
      <c r="I35" s="188"/>
      <c r="J35" s="33"/>
      <c r="K35" s="33"/>
      <c r="L35" s="33"/>
      <c r="M35" s="33"/>
      <c r="N35" s="33"/>
    </row>
    <row r="36" spans="1:15" x14ac:dyDescent="0.2">
      <c r="C36" s="29"/>
      <c r="J36" s="25"/>
      <c r="O36" s="21"/>
    </row>
    <row r="37" spans="1:15" x14ac:dyDescent="0.2">
      <c r="A37" s="76"/>
      <c r="B37" s="76"/>
      <c r="C37" s="32"/>
      <c r="D37" s="204"/>
      <c r="E37" s="32"/>
      <c r="F37" s="32"/>
      <c r="G37" s="204"/>
      <c r="H37" s="80"/>
      <c r="J37" s="25"/>
      <c r="O37" s="21"/>
    </row>
    <row r="38" spans="1:15" s="27" customFormat="1" x14ac:dyDescent="0.2">
      <c r="A38" s="170"/>
      <c r="B38" s="172" t="s">
        <v>34</v>
      </c>
      <c r="C38" s="173"/>
      <c r="D38" s="201"/>
      <c r="E38" s="170"/>
      <c r="F38" s="22"/>
      <c r="G38" s="206" t="s">
        <v>35</v>
      </c>
      <c r="H38" s="170"/>
      <c r="I38" s="188"/>
      <c r="J38" s="33"/>
      <c r="K38" s="33"/>
      <c r="L38" s="33"/>
      <c r="M38" s="33"/>
      <c r="N38" s="33"/>
    </row>
    <row r="39" spans="1:15" x14ac:dyDescent="0.2">
      <c r="A39" s="171"/>
      <c r="B39" s="173" t="s">
        <v>36</v>
      </c>
      <c r="C39" s="173"/>
      <c r="D39" s="220"/>
      <c r="E39" s="171"/>
      <c r="F39" s="38"/>
      <c r="G39" s="220" t="s">
        <v>37</v>
      </c>
      <c r="H39" s="171"/>
      <c r="J39" s="25"/>
      <c r="O39" s="21"/>
    </row>
    <row r="40" spans="1:15" x14ac:dyDescent="0.2">
      <c r="A40" s="171"/>
      <c r="B40" s="173"/>
      <c r="C40" s="173"/>
      <c r="D40" s="220"/>
      <c r="E40" s="171"/>
      <c r="F40" s="38"/>
      <c r="G40" s="220" t="s">
        <v>60</v>
      </c>
      <c r="H40" s="171"/>
      <c r="J40" s="25"/>
      <c r="O40" s="21"/>
    </row>
    <row r="41" spans="1:15" x14ac:dyDescent="0.2">
      <c r="J41" s="25"/>
      <c r="O41" s="21"/>
    </row>
    <row r="42" spans="1:15" x14ac:dyDescent="0.2">
      <c r="J42" s="25"/>
      <c r="O42" s="21"/>
    </row>
    <row r="43" spans="1:15" x14ac:dyDescent="0.2">
      <c r="J43" s="25"/>
      <c r="O43" s="21"/>
    </row>
    <row r="44" spans="1:15" s="76" customFormat="1" x14ac:dyDescent="0.2">
      <c r="A44" s="21"/>
      <c r="B44" s="21"/>
      <c r="C44" s="21"/>
      <c r="D44" s="186"/>
      <c r="E44" s="29"/>
      <c r="F44" s="29"/>
      <c r="G44" s="186"/>
      <c r="H44" s="25"/>
      <c r="I44" s="204"/>
      <c r="J44" s="80"/>
      <c r="K44" s="80"/>
      <c r="L44" s="80"/>
      <c r="M44" s="80"/>
      <c r="N44" s="80"/>
    </row>
    <row r="45" spans="1:15" s="170" customFormat="1" x14ac:dyDescent="0.2">
      <c r="A45" s="21"/>
      <c r="B45" s="21"/>
      <c r="C45" s="21"/>
      <c r="D45" s="186"/>
      <c r="E45" s="29"/>
      <c r="F45" s="29"/>
      <c r="G45" s="186"/>
      <c r="H45" s="25"/>
      <c r="I45" s="201"/>
      <c r="J45" s="22"/>
      <c r="K45" s="22"/>
      <c r="L45" s="22"/>
      <c r="M45" s="22"/>
    </row>
    <row r="46" spans="1:15" s="171" customFormat="1" x14ac:dyDescent="0.2">
      <c r="A46" s="21"/>
      <c r="B46" s="21"/>
      <c r="C46" s="21"/>
      <c r="D46" s="186"/>
      <c r="E46" s="29"/>
      <c r="F46" s="29"/>
      <c r="G46" s="186"/>
      <c r="H46" s="25"/>
      <c r="I46" s="220"/>
      <c r="J46" s="38"/>
      <c r="K46" s="38"/>
      <c r="L46" s="38"/>
      <c r="M46" s="38"/>
    </row>
    <row r="47" spans="1:15" s="171" customFormat="1" x14ac:dyDescent="0.2">
      <c r="A47" s="21"/>
      <c r="B47" s="21"/>
      <c r="C47" s="21"/>
      <c r="D47" s="186"/>
      <c r="E47" s="29"/>
      <c r="F47" s="29"/>
      <c r="G47" s="186"/>
      <c r="H47" s="25"/>
      <c r="I47" s="220"/>
      <c r="J47" s="38"/>
      <c r="K47" s="38"/>
      <c r="L47" s="38"/>
      <c r="M47" s="38"/>
    </row>
  </sheetData>
  <mergeCells count="4">
    <mergeCell ref="A1:H1"/>
    <mergeCell ref="A2:H2"/>
    <mergeCell ref="A3:H3"/>
    <mergeCell ref="A4:H4"/>
  </mergeCells>
  <printOptions horizontalCentered="1" verticalCentered="1"/>
  <pageMargins left="1.3385826771653544" right="0.78740157480314965" top="0.78740157480314965" bottom="0.78740157480314965" header="0" footer="0"/>
  <pageSetup paperSize="9" orientation="landscape" horizontalDpi="4294967292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SheetLayoutView="100" workbookViewId="0">
      <pane ySplit="6" topLeftCell="A7" activePane="bottomLeft" state="frozen"/>
      <selection activeCell="I19" sqref="I19"/>
      <selection pane="bottomLeft" activeCell="E8" sqref="E8"/>
    </sheetView>
  </sheetViews>
  <sheetFormatPr baseColWidth="10" defaultColWidth="26.140625" defaultRowHeight="11.25" x14ac:dyDescent="0.25"/>
  <cols>
    <col min="1" max="1" width="5.85546875" style="60" customWidth="1"/>
    <col min="2" max="2" width="21.5703125" style="68" customWidth="1"/>
    <col min="3" max="3" width="9.140625" style="61" customWidth="1"/>
    <col min="4" max="4" width="8.42578125" style="50" customWidth="1"/>
    <col min="5" max="6" width="9.28515625" style="50" customWidth="1"/>
    <col min="7" max="7" width="10" style="50" customWidth="1"/>
    <col min="8" max="8" width="10.5703125" style="50" customWidth="1"/>
    <col min="9" max="9" width="7.7109375" style="50" customWidth="1"/>
    <col min="10" max="10" width="10.5703125" style="50" customWidth="1"/>
    <col min="11" max="11" width="7.42578125" style="50" customWidth="1"/>
    <col min="12" max="16384" width="26.140625" style="50"/>
  </cols>
  <sheetData>
    <row r="1" spans="1:12" ht="12" x14ac:dyDescent="0.25">
      <c r="A1" s="292" t="s">
        <v>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ht="12" x14ac:dyDescent="0.25">
      <c r="A2" s="292" t="s">
        <v>106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2" ht="12" x14ac:dyDescent="0.25">
      <c r="A3" s="292" t="s">
        <v>320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2" s="54" customFormat="1" x14ac:dyDescent="0.25">
      <c r="A4" s="51"/>
      <c r="B4" s="52"/>
      <c r="C4" s="53"/>
      <c r="G4" s="55"/>
      <c r="H4" s="55"/>
      <c r="I4" s="55"/>
      <c r="J4" s="55"/>
      <c r="K4" s="55"/>
    </row>
    <row r="5" spans="1:12" s="167" customFormat="1" ht="25.5" customHeight="1" x14ac:dyDescent="0.25">
      <c r="A5" s="293" t="s">
        <v>107</v>
      </c>
      <c r="B5" s="294" t="s">
        <v>108</v>
      </c>
      <c r="C5" s="295" t="s">
        <v>317</v>
      </c>
      <c r="D5" s="167" t="s">
        <v>244</v>
      </c>
      <c r="E5" s="167" t="s">
        <v>245</v>
      </c>
      <c r="F5" s="168" t="s">
        <v>318</v>
      </c>
      <c r="G5" s="167" t="s">
        <v>245</v>
      </c>
      <c r="H5" s="296" t="s">
        <v>319</v>
      </c>
      <c r="I5" s="296"/>
      <c r="J5" s="294" t="s">
        <v>263</v>
      </c>
      <c r="K5" s="294"/>
    </row>
    <row r="6" spans="1:12" s="167" customFormat="1" ht="10.5" customHeight="1" x14ac:dyDescent="0.25">
      <c r="A6" s="293"/>
      <c r="B6" s="294"/>
      <c r="C6" s="295"/>
      <c r="D6" s="167" t="s">
        <v>109</v>
      </c>
      <c r="E6" s="167" t="s">
        <v>109</v>
      </c>
      <c r="F6" s="167" t="s">
        <v>109</v>
      </c>
      <c r="G6" s="167" t="s">
        <v>110</v>
      </c>
      <c r="H6" s="93" t="s">
        <v>40</v>
      </c>
      <c r="I6" s="94" t="s">
        <v>111</v>
      </c>
      <c r="J6" s="93" t="s">
        <v>40</v>
      </c>
      <c r="K6" s="94" t="s">
        <v>111</v>
      </c>
    </row>
    <row r="7" spans="1:12" s="54" customFormat="1" x14ac:dyDescent="0.25">
      <c r="B7" s="52" t="s">
        <v>41</v>
      </c>
      <c r="C7" s="57"/>
      <c r="D7" s="56"/>
      <c r="E7" s="56"/>
      <c r="F7" s="56"/>
      <c r="G7" s="56"/>
      <c r="H7" s="56"/>
      <c r="I7" s="56"/>
      <c r="J7" s="58"/>
      <c r="K7" s="59"/>
    </row>
    <row r="8" spans="1:12" x14ac:dyDescent="0.25">
      <c r="A8" s="60" t="s">
        <v>280</v>
      </c>
      <c r="B8" s="95" t="s">
        <v>112</v>
      </c>
      <c r="C8" s="70">
        <v>24100000</v>
      </c>
      <c r="D8" s="71">
        <f t="shared" ref="D8" si="0">E8/12</f>
        <v>24104822.5</v>
      </c>
      <c r="E8" s="71">
        <v>289257870</v>
      </c>
      <c r="F8" s="71">
        <f>(D8*12)</f>
        <v>289257870</v>
      </c>
      <c r="G8" s="70">
        <f>318156000-G97</f>
        <v>289200000</v>
      </c>
      <c r="H8" s="71">
        <f t="shared" ref="H8:H9" si="1">F8-G8</f>
        <v>57870</v>
      </c>
      <c r="I8" s="72">
        <f>G8/E8</f>
        <v>0.99979993629905384</v>
      </c>
      <c r="J8" s="71">
        <f>E8-G8</f>
        <v>57870</v>
      </c>
      <c r="K8" s="72">
        <f t="shared" ref="K8" si="2">J8/E8</f>
        <v>2.0006370094614883E-4</v>
      </c>
      <c r="L8" s="149"/>
    </row>
    <row r="9" spans="1:12" s="64" customFormat="1" x14ac:dyDescent="0.25">
      <c r="A9" s="63"/>
      <c r="B9" s="67" t="s">
        <v>115</v>
      </c>
      <c r="C9" s="73">
        <f>SUM(C8:C8)</f>
        <v>24100000</v>
      </c>
      <c r="D9" s="73">
        <f>SUM(D8:D8)</f>
        <v>24104822.5</v>
      </c>
      <c r="E9" s="73">
        <f>SUM(E8:E8)</f>
        <v>289257870</v>
      </c>
      <c r="F9" s="73">
        <f>SUM(F8:F8)</f>
        <v>289257870</v>
      </c>
      <c r="G9" s="73">
        <f>SUM(G8:G8)</f>
        <v>289200000</v>
      </c>
      <c r="H9" s="75">
        <f t="shared" si="1"/>
        <v>57870</v>
      </c>
      <c r="I9" s="74">
        <f t="shared" ref="I9" si="3">G9/E9</f>
        <v>0.99979993629905384</v>
      </c>
      <c r="J9" s="75">
        <f t="shared" ref="J9" si="4">E9-G9</f>
        <v>57870</v>
      </c>
      <c r="K9" s="74">
        <f t="shared" ref="K9" si="5">J9/E9</f>
        <v>2.0006370094614883E-4</v>
      </c>
    </row>
    <row r="10" spans="1:12" x14ac:dyDescent="0.25">
      <c r="C10" s="73"/>
      <c r="D10" s="75"/>
      <c r="E10" s="75"/>
      <c r="F10" s="75"/>
      <c r="G10" s="73"/>
      <c r="H10" s="75"/>
      <c r="I10" s="72"/>
      <c r="J10" s="75"/>
      <c r="K10" s="72"/>
    </row>
    <row r="11" spans="1:12" x14ac:dyDescent="0.25">
      <c r="B11" s="67" t="s">
        <v>116</v>
      </c>
      <c r="C11" s="70"/>
      <c r="D11" s="71"/>
      <c r="E11" s="71"/>
      <c r="F11" s="71"/>
      <c r="G11" s="71"/>
      <c r="H11" s="71"/>
      <c r="I11" s="72"/>
      <c r="J11" s="71"/>
      <c r="K11" s="72"/>
    </row>
    <row r="12" spans="1:12" x14ac:dyDescent="0.25">
      <c r="A12" s="66" t="s">
        <v>273</v>
      </c>
      <c r="B12" s="67" t="s">
        <v>117</v>
      </c>
      <c r="C12" s="70"/>
      <c r="D12" s="71"/>
      <c r="E12" s="71"/>
      <c r="F12" s="71"/>
      <c r="G12" s="71"/>
      <c r="H12" s="71"/>
      <c r="I12" s="72"/>
      <c r="J12" s="71"/>
      <c r="K12" s="72"/>
    </row>
    <row r="13" spans="1:12" x14ac:dyDescent="0.25">
      <c r="A13" s="60">
        <v>511095</v>
      </c>
      <c r="B13" s="68" t="s">
        <v>68</v>
      </c>
      <c r="C13" s="70">
        <v>0</v>
      </c>
      <c r="D13" s="71">
        <f>E13/12</f>
        <v>110000</v>
      </c>
      <c r="E13" s="71">
        <v>1320000</v>
      </c>
      <c r="F13" s="71">
        <f t="shared" ref="F13:F15" si="6">(D13*12)</f>
        <v>1320000</v>
      </c>
      <c r="G13" s="70">
        <v>800000</v>
      </c>
      <c r="H13" s="71">
        <f t="shared" ref="H13:H16" si="7">F13-G13</f>
        <v>520000</v>
      </c>
      <c r="I13" s="72">
        <f t="shared" ref="I13:I16" si="8">G13/E13</f>
        <v>0.60606060606060608</v>
      </c>
      <c r="J13" s="71">
        <f t="shared" ref="J13:J16" si="9">E13-G13</f>
        <v>520000</v>
      </c>
      <c r="K13" s="72">
        <f t="shared" ref="K13:K16" si="10">J13/E13</f>
        <v>0.39393939393939392</v>
      </c>
    </row>
    <row r="14" spans="1:12" x14ac:dyDescent="0.25">
      <c r="A14" s="60">
        <v>511030</v>
      </c>
      <c r="B14" s="68" t="s">
        <v>118</v>
      </c>
      <c r="C14" s="70">
        <v>367000</v>
      </c>
      <c r="D14" s="71">
        <f>E14/12</f>
        <v>367000</v>
      </c>
      <c r="E14" s="71">
        <v>4404000</v>
      </c>
      <c r="F14" s="71">
        <f t="shared" si="6"/>
        <v>4404000</v>
      </c>
      <c r="G14" s="70">
        <v>4404000</v>
      </c>
      <c r="H14" s="71">
        <f t="shared" si="7"/>
        <v>0</v>
      </c>
      <c r="I14" s="72">
        <f t="shared" si="8"/>
        <v>1</v>
      </c>
      <c r="J14" s="71">
        <f t="shared" si="9"/>
        <v>0</v>
      </c>
      <c r="K14" s="72">
        <f t="shared" si="10"/>
        <v>0</v>
      </c>
    </row>
    <row r="15" spans="1:12" x14ac:dyDescent="0.25">
      <c r="A15" s="60">
        <v>513560</v>
      </c>
      <c r="B15" s="68" t="s">
        <v>73</v>
      </c>
      <c r="C15" s="70">
        <v>1926000</v>
      </c>
      <c r="D15" s="71">
        <f>E15/12</f>
        <v>1926000</v>
      </c>
      <c r="E15" s="71">
        <v>23112000</v>
      </c>
      <c r="F15" s="71">
        <f t="shared" si="6"/>
        <v>23112000</v>
      </c>
      <c r="G15" s="70">
        <v>23112000</v>
      </c>
      <c r="H15" s="71">
        <f t="shared" si="7"/>
        <v>0</v>
      </c>
      <c r="I15" s="72">
        <f t="shared" si="8"/>
        <v>1</v>
      </c>
      <c r="J15" s="71">
        <f t="shared" si="9"/>
        <v>0</v>
      </c>
      <c r="K15" s="72">
        <f t="shared" si="10"/>
        <v>0</v>
      </c>
    </row>
    <row r="16" spans="1:12" s="64" customFormat="1" x14ac:dyDescent="0.25">
      <c r="A16" s="63"/>
      <c r="B16" s="67" t="s">
        <v>119</v>
      </c>
      <c r="C16" s="73">
        <f t="shared" ref="C16:G16" si="11">SUM(C13:C15)</f>
        <v>2293000</v>
      </c>
      <c r="D16" s="73">
        <f t="shared" si="11"/>
        <v>2403000</v>
      </c>
      <c r="E16" s="73">
        <f t="shared" si="11"/>
        <v>28836000</v>
      </c>
      <c r="F16" s="73">
        <f t="shared" si="11"/>
        <v>28836000</v>
      </c>
      <c r="G16" s="73">
        <f t="shared" si="11"/>
        <v>28316000</v>
      </c>
      <c r="H16" s="75">
        <f t="shared" si="7"/>
        <v>520000</v>
      </c>
      <c r="I16" s="74">
        <f t="shared" si="8"/>
        <v>0.98196698571230412</v>
      </c>
      <c r="J16" s="75">
        <f t="shared" si="9"/>
        <v>520000</v>
      </c>
      <c r="K16" s="74">
        <f t="shared" si="10"/>
        <v>1.8033014287695937E-2</v>
      </c>
    </row>
    <row r="17" spans="1:11" x14ac:dyDescent="0.25">
      <c r="C17" s="70"/>
      <c r="D17" s="71"/>
      <c r="E17" s="71"/>
      <c r="F17" s="71"/>
      <c r="G17" s="71"/>
      <c r="H17" s="71"/>
      <c r="I17" s="72"/>
      <c r="J17" s="71"/>
      <c r="K17" s="72"/>
    </row>
    <row r="18" spans="1:11" x14ac:dyDescent="0.25">
      <c r="B18" s="67" t="s">
        <v>251</v>
      </c>
      <c r="C18" s="70"/>
      <c r="D18" s="71"/>
      <c r="E18" s="71"/>
      <c r="F18" s="71"/>
      <c r="G18" s="71"/>
      <c r="H18" s="71"/>
      <c r="I18" s="72"/>
      <c r="J18" s="71">
        <f>E18-G18</f>
        <v>0</v>
      </c>
      <c r="K18" s="72"/>
    </row>
    <row r="19" spans="1:11" x14ac:dyDescent="0.25">
      <c r="A19" s="60" t="s">
        <v>252</v>
      </c>
      <c r="B19" s="68" t="s">
        <v>240</v>
      </c>
      <c r="C19" s="70">
        <v>0</v>
      </c>
      <c r="D19" s="71">
        <f>E19/12</f>
        <v>5500</v>
      </c>
      <c r="E19" s="71">
        <v>66000</v>
      </c>
      <c r="F19" s="71">
        <f t="shared" ref="F19:F20" si="12">(D19*12)</f>
        <v>66000</v>
      </c>
      <c r="G19" s="70">
        <v>67935</v>
      </c>
      <c r="H19" s="71">
        <f t="shared" ref="H19:H21" si="13">F19-G19</f>
        <v>-1935</v>
      </c>
      <c r="I19" s="72">
        <f t="shared" ref="I19:I21" si="14">G19/E19</f>
        <v>1.0293181818181818</v>
      </c>
      <c r="J19" s="71">
        <f>E19-G19</f>
        <v>-1935</v>
      </c>
      <c r="K19" s="72">
        <f>J19/E19</f>
        <v>-2.931818181818182E-2</v>
      </c>
    </row>
    <row r="20" spans="1:11" x14ac:dyDescent="0.25">
      <c r="A20" s="60" t="s">
        <v>253</v>
      </c>
      <c r="B20" s="68" t="s">
        <v>254</v>
      </c>
      <c r="C20" s="70">
        <v>0</v>
      </c>
      <c r="D20" s="71">
        <f>E20/12</f>
        <v>0</v>
      </c>
      <c r="E20" s="71">
        <v>0</v>
      </c>
      <c r="F20" s="71">
        <f t="shared" si="12"/>
        <v>0</v>
      </c>
      <c r="G20" s="70">
        <v>0</v>
      </c>
      <c r="H20" s="71">
        <f t="shared" si="13"/>
        <v>0</v>
      </c>
      <c r="I20" s="72">
        <v>0</v>
      </c>
      <c r="J20" s="71">
        <f>E20-G20</f>
        <v>0</v>
      </c>
      <c r="K20" s="72"/>
    </row>
    <row r="21" spans="1:11" s="64" customFormat="1" x14ac:dyDescent="0.25">
      <c r="A21" s="63"/>
      <c r="B21" s="67" t="s">
        <v>120</v>
      </c>
      <c r="C21" s="73">
        <f t="shared" ref="C21:F21" si="15">SUM(C19)</f>
        <v>0</v>
      </c>
      <c r="D21" s="73">
        <f t="shared" si="15"/>
        <v>5500</v>
      </c>
      <c r="E21" s="73">
        <f>SUM(E19:E20)</f>
        <v>66000</v>
      </c>
      <c r="F21" s="73">
        <f t="shared" si="15"/>
        <v>66000</v>
      </c>
      <c r="G21" s="73">
        <f>SUM(G19:G20)</f>
        <v>67935</v>
      </c>
      <c r="H21" s="75">
        <f t="shared" si="13"/>
        <v>-1935</v>
      </c>
      <c r="I21" s="74">
        <f t="shared" si="14"/>
        <v>1.0293181818181818</v>
      </c>
      <c r="J21" s="75">
        <f t="shared" ref="J21" si="16">E21-G21</f>
        <v>-1935</v>
      </c>
      <c r="K21" s="74">
        <f t="shared" ref="K21" si="17">J21/E21</f>
        <v>-2.931818181818182E-2</v>
      </c>
    </row>
    <row r="22" spans="1:11" x14ac:dyDescent="0.25">
      <c r="C22" s="70"/>
      <c r="D22" s="71"/>
      <c r="E22" s="71"/>
      <c r="F22" s="71"/>
      <c r="G22" s="71"/>
      <c r="H22" s="71"/>
      <c r="I22" s="72"/>
      <c r="J22" s="71"/>
      <c r="K22" s="72"/>
    </row>
    <row r="23" spans="1:11" x14ac:dyDescent="0.25">
      <c r="B23" s="67" t="s">
        <v>121</v>
      </c>
      <c r="C23" s="70"/>
      <c r="D23" s="71"/>
      <c r="E23" s="71"/>
      <c r="F23" s="71"/>
      <c r="G23" s="71"/>
      <c r="H23" s="71"/>
      <c r="I23" s="72"/>
      <c r="J23" s="71"/>
      <c r="K23" s="72"/>
    </row>
    <row r="24" spans="1:11" x14ac:dyDescent="0.25">
      <c r="A24" s="60">
        <v>513085</v>
      </c>
      <c r="B24" s="68" t="s">
        <v>122</v>
      </c>
      <c r="C24" s="70">
        <v>1296123</v>
      </c>
      <c r="D24" s="71">
        <f>E24/12</f>
        <v>1146466.6666666667</v>
      </c>
      <c r="E24" s="71">
        <v>13757600</v>
      </c>
      <c r="F24" s="71">
        <f>(D24*12)</f>
        <v>13757600</v>
      </c>
      <c r="G24" s="70">
        <v>13363581</v>
      </c>
      <c r="H24" s="71">
        <f t="shared" ref="H24:H25" si="18">F24-G24</f>
        <v>394019</v>
      </c>
      <c r="I24" s="72">
        <f t="shared" ref="I24:I25" si="19">G24/E24</f>
        <v>0.97135990289003893</v>
      </c>
      <c r="J24" s="71">
        <f>E24-G24</f>
        <v>394019</v>
      </c>
      <c r="K24" s="72">
        <f>J24/E24</f>
        <v>2.864009710996104E-2</v>
      </c>
    </row>
    <row r="25" spans="1:11" s="64" customFormat="1" x14ac:dyDescent="0.25">
      <c r="A25" s="63"/>
      <c r="B25" s="67" t="s">
        <v>123</v>
      </c>
      <c r="C25" s="73">
        <f t="shared" ref="C25:G25" si="20">SUM(C24)</f>
        <v>1296123</v>
      </c>
      <c r="D25" s="73">
        <f t="shared" si="20"/>
        <v>1146466.6666666667</v>
      </c>
      <c r="E25" s="73">
        <f t="shared" si="20"/>
        <v>13757600</v>
      </c>
      <c r="F25" s="73">
        <f t="shared" si="20"/>
        <v>13757600</v>
      </c>
      <c r="G25" s="73">
        <f t="shared" si="20"/>
        <v>13363581</v>
      </c>
      <c r="H25" s="75">
        <f t="shared" si="18"/>
        <v>394019</v>
      </c>
      <c r="I25" s="74">
        <f t="shared" si="19"/>
        <v>0.97135990289003893</v>
      </c>
      <c r="J25" s="75">
        <f t="shared" ref="J25" si="21">E25-G25</f>
        <v>394019</v>
      </c>
      <c r="K25" s="74">
        <f t="shared" ref="K25" si="22">J25/E25</f>
        <v>2.864009710996104E-2</v>
      </c>
    </row>
    <row r="26" spans="1:11" x14ac:dyDescent="0.25">
      <c r="C26" s="70"/>
      <c r="D26" s="71"/>
      <c r="E26" s="71"/>
      <c r="F26" s="71"/>
      <c r="G26" s="71"/>
      <c r="H26" s="71"/>
      <c r="I26" s="72"/>
      <c r="J26" s="71"/>
      <c r="K26" s="72"/>
    </row>
    <row r="27" spans="1:11" x14ac:dyDescent="0.25">
      <c r="B27" s="67" t="s">
        <v>124</v>
      </c>
      <c r="C27" s="70"/>
      <c r="D27" s="71"/>
      <c r="E27" s="71"/>
      <c r="F27" s="71"/>
      <c r="G27" s="71"/>
      <c r="H27" s="71"/>
      <c r="I27" s="72"/>
      <c r="J27" s="71"/>
      <c r="K27" s="72"/>
    </row>
    <row r="28" spans="1:11" x14ac:dyDescent="0.25">
      <c r="A28" s="60" t="s">
        <v>282</v>
      </c>
      <c r="B28" s="68" t="s">
        <v>74</v>
      </c>
      <c r="C28" s="70">
        <v>3006264</v>
      </c>
      <c r="D28" s="71">
        <f t="shared" ref="D28:D37" si="23">E28/12</f>
        <v>2874664</v>
      </c>
      <c r="E28" s="71">
        <v>34495968</v>
      </c>
      <c r="F28" s="71">
        <f t="shared" ref="F28:F37" si="24">(D28*12)</f>
        <v>34495968</v>
      </c>
      <c r="G28" s="70">
        <v>34819568</v>
      </c>
      <c r="H28" s="71">
        <f t="shared" ref="H28:H38" si="25">F28-G28</f>
        <v>-323600</v>
      </c>
      <c r="I28" s="72">
        <f t="shared" ref="I28:I38" si="26">G28/E28</f>
        <v>1.0093808064757017</v>
      </c>
      <c r="J28" s="71">
        <f t="shared" ref="J28:J38" si="27">E28-G28</f>
        <v>-323600</v>
      </c>
      <c r="K28" s="72">
        <f t="shared" ref="K28:K38" si="28">J28/E28</f>
        <v>-9.3808064757017404E-3</v>
      </c>
    </row>
    <row r="29" spans="1:11" x14ac:dyDescent="0.25">
      <c r="A29" s="60" t="s">
        <v>282</v>
      </c>
      <c r="B29" s="68" t="s">
        <v>75</v>
      </c>
      <c r="C29" s="70">
        <v>340498</v>
      </c>
      <c r="D29" s="71">
        <f t="shared" si="23"/>
        <v>325000</v>
      </c>
      <c r="E29" s="71">
        <v>3900000</v>
      </c>
      <c r="F29" s="71">
        <f t="shared" si="24"/>
        <v>3900000</v>
      </c>
      <c r="G29" s="70">
        <v>4349049</v>
      </c>
      <c r="H29" s="71">
        <f t="shared" si="25"/>
        <v>-449049</v>
      </c>
      <c r="I29" s="72">
        <f t="shared" si="26"/>
        <v>1.1151407692307693</v>
      </c>
      <c r="J29" s="71">
        <f t="shared" si="27"/>
        <v>-449049</v>
      </c>
      <c r="K29" s="72">
        <f t="shared" si="28"/>
        <v>-0.11514076923076923</v>
      </c>
    </row>
    <row r="30" spans="1:11" x14ac:dyDescent="0.25">
      <c r="A30" s="60" t="s">
        <v>283</v>
      </c>
      <c r="B30" s="68" t="s">
        <v>213</v>
      </c>
      <c r="C30" s="70">
        <v>5539813</v>
      </c>
      <c r="D30" s="71">
        <f t="shared" si="23"/>
        <v>5539813</v>
      </c>
      <c r="E30" s="71">
        <v>66477756</v>
      </c>
      <c r="F30" s="71">
        <f t="shared" si="24"/>
        <v>66477756</v>
      </c>
      <c r="G30" s="70">
        <v>66477756</v>
      </c>
      <c r="H30" s="71">
        <f t="shared" si="25"/>
        <v>0</v>
      </c>
      <c r="I30" s="72">
        <f t="shared" si="26"/>
        <v>1</v>
      </c>
      <c r="J30" s="71">
        <f t="shared" si="27"/>
        <v>0</v>
      </c>
      <c r="K30" s="72">
        <f t="shared" si="28"/>
        <v>0</v>
      </c>
    </row>
    <row r="31" spans="1:11" x14ac:dyDescent="0.25">
      <c r="A31" s="60" t="s">
        <v>283</v>
      </c>
      <c r="B31" s="68" t="s">
        <v>241</v>
      </c>
      <c r="C31" s="70">
        <v>0</v>
      </c>
      <c r="D31" s="71">
        <f t="shared" si="23"/>
        <v>90000</v>
      </c>
      <c r="E31" s="71">
        <v>1080000</v>
      </c>
      <c r="F31" s="71">
        <f t="shared" si="24"/>
        <v>1080000</v>
      </c>
      <c r="G31" s="70">
        <v>1557740</v>
      </c>
      <c r="H31" s="71">
        <f t="shared" si="25"/>
        <v>-477740</v>
      </c>
      <c r="I31" s="72">
        <f t="shared" si="26"/>
        <v>1.4423518518518519</v>
      </c>
      <c r="J31" s="71">
        <f t="shared" si="27"/>
        <v>-477740</v>
      </c>
      <c r="K31" s="72">
        <f t="shared" si="28"/>
        <v>-0.44235185185185183</v>
      </c>
    </row>
    <row r="32" spans="1:11" x14ac:dyDescent="0.25">
      <c r="A32" s="60">
        <v>513525</v>
      </c>
      <c r="B32" s="68" t="s">
        <v>125</v>
      </c>
      <c r="C32" s="70">
        <v>715538</v>
      </c>
      <c r="D32" s="71">
        <f t="shared" si="23"/>
        <v>779166.66666666663</v>
      </c>
      <c r="E32" s="71">
        <v>9350000</v>
      </c>
      <c r="F32" s="71">
        <f t="shared" si="24"/>
        <v>9350000</v>
      </c>
      <c r="G32" s="70">
        <v>10491216</v>
      </c>
      <c r="H32" s="71">
        <f t="shared" si="25"/>
        <v>-1141216</v>
      </c>
      <c r="I32" s="72">
        <f t="shared" si="26"/>
        <v>1.1220551871657753</v>
      </c>
      <c r="J32" s="71">
        <f t="shared" si="27"/>
        <v>-1141216</v>
      </c>
      <c r="K32" s="72">
        <f t="shared" si="28"/>
        <v>-0.1220551871657754</v>
      </c>
    </row>
    <row r="33" spans="1:11" x14ac:dyDescent="0.25">
      <c r="A33" s="60">
        <v>513530</v>
      </c>
      <c r="B33" s="68" t="s">
        <v>126</v>
      </c>
      <c r="C33" s="70">
        <v>1555731</v>
      </c>
      <c r="D33" s="71">
        <f t="shared" si="23"/>
        <v>1993425.25</v>
      </c>
      <c r="E33" s="71">
        <v>23921103</v>
      </c>
      <c r="F33" s="71">
        <f t="shared" si="24"/>
        <v>23921103</v>
      </c>
      <c r="G33" s="70">
        <v>21504822</v>
      </c>
      <c r="H33" s="71">
        <f t="shared" si="25"/>
        <v>2416281</v>
      </c>
      <c r="I33" s="72">
        <f t="shared" si="26"/>
        <v>0.89898956582395051</v>
      </c>
      <c r="J33" s="71">
        <f t="shared" si="27"/>
        <v>2416281</v>
      </c>
      <c r="K33" s="72">
        <f t="shared" si="28"/>
        <v>0.10101043417604949</v>
      </c>
    </row>
    <row r="34" spans="1:11" x14ac:dyDescent="0.25">
      <c r="A34" s="60">
        <v>513535</v>
      </c>
      <c r="B34" s="68" t="s">
        <v>242</v>
      </c>
      <c r="C34" s="70">
        <f>59917+127300</f>
        <v>187217</v>
      </c>
      <c r="D34" s="71">
        <f t="shared" si="23"/>
        <v>188125</v>
      </c>
      <c r="E34" s="71">
        <v>2257500</v>
      </c>
      <c r="F34" s="71">
        <f t="shared" si="24"/>
        <v>2257500</v>
      </c>
      <c r="G34" s="70">
        <f>648290+1525148</f>
        <v>2173438</v>
      </c>
      <c r="H34" s="71">
        <f t="shared" si="25"/>
        <v>84062</v>
      </c>
      <c r="I34" s="72">
        <f t="shared" si="26"/>
        <v>0.96276323366555927</v>
      </c>
      <c r="J34" s="71">
        <f t="shared" si="27"/>
        <v>84062</v>
      </c>
      <c r="K34" s="72">
        <f t="shared" si="28"/>
        <v>3.723676633444075E-2</v>
      </c>
    </row>
    <row r="35" spans="1:11" x14ac:dyDescent="0.25">
      <c r="A35" s="60">
        <v>513540</v>
      </c>
      <c r="B35" s="68" t="s">
        <v>80</v>
      </c>
      <c r="C35" s="70">
        <v>0</v>
      </c>
      <c r="D35" s="71">
        <f t="shared" si="23"/>
        <v>2500</v>
      </c>
      <c r="E35" s="71">
        <v>30000</v>
      </c>
      <c r="F35" s="71">
        <f t="shared" si="24"/>
        <v>30000</v>
      </c>
      <c r="G35" s="70">
        <v>0</v>
      </c>
      <c r="H35" s="71">
        <f t="shared" si="25"/>
        <v>30000</v>
      </c>
      <c r="I35" s="72">
        <f t="shared" si="26"/>
        <v>0</v>
      </c>
      <c r="J35" s="71">
        <f t="shared" si="27"/>
        <v>30000</v>
      </c>
      <c r="K35" s="72">
        <f t="shared" si="28"/>
        <v>1</v>
      </c>
    </row>
    <row r="36" spans="1:11" x14ac:dyDescent="0.25">
      <c r="A36" s="60">
        <v>513555</v>
      </c>
      <c r="B36" s="68" t="s">
        <v>81</v>
      </c>
      <c r="C36" s="70">
        <v>212090</v>
      </c>
      <c r="D36" s="71">
        <f t="shared" si="23"/>
        <v>310000</v>
      </c>
      <c r="E36" s="71">
        <v>3720000</v>
      </c>
      <c r="F36" s="71">
        <f t="shared" si="24"/>
        <v>3720000</v>
      </c>
      <c r="G36" s="70">
        <v>2369680</v>
      </c>
      <c r="H36" s="71">
        <f t="shared" si="25"/>
        <v>1350320</v>
      </c>
      <c r="I36" s="72">
        <f t="shared" si="26"/>
        <v>0.63701075268817209</v>
      </c>
      <c r="J36" s="71">
        <f t="shared" si="27"/>
        <v>1350320</v>
      </c>
      <c r="K36" s="72">
        <f t="shared" si="28"/>
        <v>0.36298924731182797</v>
      </c>
    </row>
    <row r="37" spans="1:11" x14ac:dyDescent="0.25">
      <c r="A37" s="60" t="s">
        <v>284</v>
      </c>
      <c r="B37" s="68" t="s">
        <v>82</v>
      </c>
      <c r="C37" s="70">
        <v>0</v>
      </c>
      <c r="D37" s="71">
        <f t="shared" si="23"/>
        <v>247000</v>
      </c>
      <c r="E37" s="71">
        <v>2964000</v>
      </c>
      <c r="F37" s="71">
        <f t="shared" si="24"/>
        <v>2964000</v>
      </c>
      <c r="G37" s="70">
        <v>2940000</v>
      </c>
      <c r="H37" s="71">
        <f t="shared" si="25"/>
        <v>24000</v>
      </c>
      <c r="I37" s="72">
        <f t="shared" si="26"/>
        <v>0.9919028340080972</v>
      </c>
      <c r="J37" s="71">
        <f t="shared" si="27"/>
        <v>24000</v>
      </c>
      <c r="K37" s="72">
        <f t="shared" si="28"/>
        <v>8.0971659919028341E-3</v>
      </c>
    </row>
    <row r="38" spans="1:11" s="64" customFormat="1" x14ac:dyDescent="0.25">
      <c r="A38" s="63"/>
      <c r="B38" s="67" t="s">
        <v>127</v>
      </c>
      <c r="C38" s="73">
        <f>SUM(C28:C37)</f>
        <v>11557151</v>
      </c>
      <c r="D38" s="73">
        <f t="shared" ref="D38:F38" si="29">SUM(D28:D37)</f>
        <v>12349693.916666666</v>
      </c>
      <c r="E38" s="73">
        <f>SUM(E28:E37)</f>
        <v>148196327</v>
      </c>
      <c r="F38" s="73">
        <f t="shared" si="29"/>
        <v>148196327</v>
      </c>
      <c r="G38" s="73">
        <f>SUM(G28:G37)</f>
        <v>146683269</v>
      </c>
      <c r="H38" s="75">
        <f t="shared" si="25"/>
        <v>1513058</v>
      </c>
      <c r="I38" s="74">
        <f t="shared" si="26"/>
        <v>0.9897901788078729</v>
      </c>
      <c r="J38" s="75">
        <f t="shared" si="27"/>
        <v>1513058</v>
      </c>
      <c r="K38" s="74">
        <f t="shared" si="28"/>
        <v>1.0209821192127117E-2</v>
      </c>
    </row>
    <row r="39" spans="1:11" s="64" customFormat="1" x14ac:dyDescent="0.25">
      <c r="A39" s="63"/>
      <c r="B39" s="67"/>
      <c r="C39" s="73"/>
      <c r="D39" s="73"/>
      <c r="E39" s="73"/>
      <c r="F39" s="73"/>
      <c r="G39" s="73"/>
      <c r="H39" s="75"/>
      <c r="I39" s="74"/>
      <c r="J39" s="75"/>
      <c r="K39" s="74"/>
    </row>
    <row r="40" spans="1:11" x14ac:dyDescent="0.25">
      <c r="B40" s="67" t="s">
        <v>255</v>
      </c>
      <c r="C40" s="70"/>
      <c r="D40" s="71"/>
      <c r="E40" s="71"/>
      <c r="F40" s="71"/>
      <c r="G40" s="71"/>
      <c r="H40" s="71"/>
      <c r="I40" s="72"/>
      <c r="J40" s="71"/>
      <c r="K40" s="72"/>
    </row>
    <row r="41" spans="1:11" x14ac:dyDescent="0.25">
      <c r="A41" s="60" t="s">
        <v>256</v>
      </c>
      <c r="B41" s="68" t="s">
        <v>262</v>
      </c>
      <c r="C41" s="70">
        <v>0</v>
      </c>
      <c r="D41" s="71">
        <f>E41/12</f>
        <v>26583.333333333332</v>
      </c>
      <c r="E41" s="71">
        <v>319000</v>
      </c>
      <c r="F41" s="71">
        <f>(D41*12)</f>
        <v>319000</v>
      </c>
      <c r="G41" s="70">
        <v>138144</v>
      </c>
      <c r="H41" s="71">
        <f t="shared" ref="H41:H42" si="30">F41-G41</f>
        <v>180856</v>
      </c>
      <c r="I41" s="72">
        <f t="shared" ref="I41:I42" si="31">G41/E41</f>
        <v>0.43305329153605016</v>
      </c>
      <c r="J41" s="71">
        <f>E41-G41</f>
        <v>180856</v>
      </c>
      <c r="K41" s="72">
        <f>J41/E41</f>
        <v>0.56694670846394979</v>
      </c>
    </row>
    <row r="42" spans="1:11" s="64" customFormat="1" x14ac:dyDescent="0.25">
      <c r="A42" s="63"/>
      <c r="B42" s="67" t="s">
        <v>120</v>
      </c>
      <c r="C42" s="73">
        <f>SUM(C41:C41)</f>
        <v>0</v>
      </c>
      <c r="D42" s="73">
        <f t="shared" ref="D42" si="32">SUM(D41)</f>
        <v>26583.333333333332</v>
      </c>
      <c r="E42" s="73">
        <f>SUM(E41:E41)</f>
        <v>319000</v>
      </c>
      <c r="F42" s="73">
        <f t="shared" ref="F42" si="33">SUM(F41)</f>
        <v>319000</v>
      </c>
      <c r="G42" s="73">
        <f>SUM(G41:G41)</f>
        <v>138144</v>
      </c>
      <c r="H42" s="75">
        <f t="shared" si="30"/>
        <v>180856</v>
      </c>
      <c r="I42" s="74">
        <f t="shared" si="31"/>
        <v>0.43305329153605016</v>
      </c>
      <c r="J42" s="75">
        <f t="shared" ref="J42" si="34">E42-G42</f>
        <v>180856</v>
      </c>
      <c r="K42" s="74">
        <f t="shared" ref="K42" si="35">J42/E42</f>
        <v>0.56694670846394979</v>
      </c>
    </row>
    <row r="43" spans="1:11" s="64" customFormat="1" x14ac:dyDescent="0.25">
      <c r="A43" s="63"/>
      <c r="B43" s="67"/>
      <c r="C43" s="73"/>
      <c r="D43" s="73"/>
      <c r="E43" s="73"/>
      <c r="F43" s="73"/>
      <c r="G43" s="73"/>
      <c r="H43" s="75"/>
      <c r="I43" s="74"/>
      <c r="J43" s="75"/>
      <c r="K43" s="74"/>
    </row>
    <row r="44" spans="1:11" x14ac:dyDescent="0.25">
      <c r="B44" s="67" t="s">
        <v>129</v>
      </c>
      <c r="C44" s="70"/>
      <c r="D44" s="71"/>
      <c r="E44" s="71"/>
      <c r="F44" s="71"/>
      <c r="G44" s="71"/>
      <c r="H44" s="71"/>
      <c r="I44" s="72"/>
      <c r="J44" s="71"/>
      <c r="K44" s="72"/>
    </row>
    <row r="45" spans="1:11" x14ac:dyDescent="0.25">
      <c r="A45" s="60" t="s">
        <v>130</v>
      </c>
      <c r="B45" s="68" t="s">
        <v>87</v>
      </c>
      <c r="C45" s="70">
        <v>1193851</v>
      </c>
      <c r="D45" s="71">
        <f>E45/12</f>
        <v>1174491.9166666667</v>
      </c>
      <c r="E45" s="71">
        <v>14093903</v>
      </c>
      <c r="F45" s="71">
        <f t="shared" ref="F45:F58" si="36">(D45*12)</f>
        <v>14093903</v>
      </c>
      <c r="G45" s="70">
        <v>14095517</v>
      </c>
      <c r="H45" s="71">
        <f t="shared" ref="H45:H59" si="37">F45-G45</f>
        <v>-1614</v>
      </c>
      <c r="I45" s="72">
        <f t="shared" ref="I45:I59" si="38">G45/E45</f>
        <v>1.0001145176038178</v>
      </c>
      <c r="J45" s="71">
        <f t="shared" ref="J45:J59" si="39">E45-G45</f>
        <v>-1614</v>
      </c>
      <c r="K45" s="72">
        <f t="shared" ref="K45:K59" si="40">J45/E45</f>
        <v>-1.1451760381776432E-4</v>
      </c>
    </row>
    <row r="46" spans="1:11" x14ac:dyDescent="0.25">
      <c r="A46" s="60" t="s">
        <v>130</v>
      </c>
      <c r="B46" s="68" t="s">
        <v>214</v>
      </c>
      <c r="C46" s="70">
        <v>0</v>
      </c>
      <c r="D46" s="71">
        <f t="shared" ref="D46:D58" si="41">E46/12</f>
        <v>54000</v>
      </c>
      <c r="E46" s="71">
        <v>648000</v>
      </c>
      <c r="F46" s="71">
        <f t="shared" si="36"/>
        <v>648000</v>
      </c>
      <c r="G46" s="70">
        <v>0</v>
      </c>
      <c r="H46" s="71">
        <f t="shared" si="37"/>
        <v>648000</v>
      </c>
      <c r="I46" s="72">
        <f t="shared" si="38"/>
        <v>0</v>
      </c>
      <c r="J46" s="71">
        <f t="shared" si="39"/>
        <v>648000</v>
      </c>
      <c r="K46" s="72">
        <f t="shared" si="40"/>
        <v>1</v>
      </c>
    </row>
    <row r="47" spans="1:11" x14ac:dyDescent="0.25">
      <c r="A47" s="60" t="s">
        <v>276</v>
      </c>
      <c r="B47" s="68" t="s">
        <v>249</v>
      </c>
      <c r="C47" s="70">
        <v>0</v>
      </c>
      <c r="D47" s="71">
        <f t="shared" si="41"/>
        <v>190000</v>
      </c>
      <c r="E47" s="71">
        <v>2280000</v>
      </c>
      <c r="F47" s="71">
        <f t="shared" si="36"/>
        <v>2280000</v>
      </c>
      <c r="G47" s="70">
        <f>435800+773800</f>
        <v>1209600</v>
      </c>
      <c r="H47" s="71">
        <f t="shared" si="37"/>
        <v>1070400</v>
      </c>
      <c r="I47" s="72">
        <f t="shared" si="38"/>
        <v>0.53052631578947373</v>
      </c>
      <c r="J47" s="71">
        <f t="shared" si="39"/>
        <v>1070400</v>
      </c>
      <c r="K47" s="72">
        <f t="shared" si="40"/>
        <v>0.46947368421052632</v>
      </c>
    </row>
    <row r="48" spans="1:11" x14ac:dyDescent="0.25">
      <c r="A48" s="60" t="s">
        <v>277</v>
      </c>
      <c r="B48" s="68" t="s">
        <v>215</v>
      </c>
      <c r="C48" s="70">
        <v>0</v>
      </c>
      <c r="D48" s="71">
        <f t="shared" si="41"/>
        <v>280000</v>
      </c>
      <c r="E48" s="71">
        <v>3360000</v>
      </c>
      <c r="F48" s="71">
        <f t="shared" si="36"/>
        <v>3360000</v>
      </c>
      <c r="G48" s="70">
        <f>985600+153700</f>
        <v>1139300</v>
      </c>
      <c r="H48" s="71">
        <f t="shared" si="37"/>
        <v>2220700</v>
      </c>
      <c r="I48" s="72">
        <f t="shared" si="38"/>
        <v>0.33907738095238094</v>
      </c>
      <c r="J48" s="71">
        <f t="shared" si="39"/>
        <v>2220700</v>
      </c>
      <c r="K48" s="72">
        <f t="shared" si="40"/>
        <v>0.66092261904761906</v>
      </c>
    </row>
    <row r="49" spans="1:11" x14ac:dyDescent="0.25">
      <c r="A49" s="60">
        <v>514586</v>
      </c>
      <c r="B49" s="68" t="s">
        <v>216</v>
      </c>
      <c r="C49" s="70">
        <v>166400</v>
      </c>
      <c r="D49" s="71">
        <f t="shared" si="41"/>
        <v>106666.66666666667</v>
      </c>
      <c r="E49" s="71">
        <v>1280000</v>
      </c>
      <c r="F49" s="71">
        <f t="shared" si="36"/>
        <v>1280000</v>
      </c>
      <c r="G49" s="70">
        <v>1078400</v>
      </c>
      <c r="H49" s="71">
        <f t="shared" si="37"/>
        <v>201600</v>
      </c>
      <c r="I49" s="72">
        <f t="shared" si="38"/>
        <v>0.84250000000000003</v>
      </c>
      <c r="J49" s="71">
        <f t="shared" si="39"/>
        <v>201600</v>
      </c>
      <c r="K49" s="72">
        <f t="shared" si="40"/>
        <v>0.1575</v>
      </c>
    </row>
    <row r="50" spans="1:11" x14ac:dyDescent="0.25">
      <c r="A50" s="60" t="s">
        <v>238</v>
      </c>
      <c r="B50" s="68" t="s">
        <v>217</v>
      </c>
      <c r="C50" s="70">
        <v>0</v>
      </c>
      <c r="D50" s="71">
        <f t="shared" si="41"/>
        <v>46666.666666666664</v>
      </c>
      <c r="E50" s="71">
        <v>560000</v>
      </c>
      <c r="F50" s="71">
        <f t="shared" si="36"/>
        <v>560000</v>
      </c>
      <c r="G50" s="70">
        <v>157950</v>
      </c>
      <c r="H50" s="71">
        <f t="shared" si="37"/>
        <v>402050</v>
      </c>
      <c r="I50" s="72">
        <f t="shared" si="38"/>
        <v>0.2820535714285714</v>
      </c>
      <c r="J50" s="71">
        <f t="shared" si="39"/>
        <v>402050</v>
      </c>
      <c r="K50" s="72">
        <f t="shared" si="40"/>
        <v>0.71794642857142854</v>
      </c>
    </row>
    <row r="51" spans="1:11" x14ac:dyDescent="0.25">
      <c r="A51" s="60">
        <v>514575</v>
      </c>
      <c r="B51" s="68" t="s">
        <v>92</v>
      </c>
      <c r="C51" s="70">
        <v>0</v>
      </c>
      <c r="D51" s="71">
        <f t="shared" si="41"/>
        <v>15000</v>
      </c>
      <c r="E51" s="71">
        <v>180000</v>
      </c>
      <c r="F51" s="71">
        <f t="shared" si="36"/>
        <v>180000</v>
      </c>
      <c r="G51" s="70">
        <v>1027000</v>
      </c>
      <c r="H51" s="71">
        <f t="shared" si="37"/>
        <v>-847000</v>
      </c>
      <c r="I51" s="72">
        <f t="shared" si="38"/>
        <v>5.7055555555555557</v>
      </c>
      <c r="J51" s="71">
        <f t="shared" si="39"/>
        <v>-847000</v>
      </c>
      <c r="K51" s="72">
        <f t="shared" si="40"/>
        <v>-4.7055555555555557</v>
      </c>
    </row>
    <row r="52" spans="1:11" x14ac:dyDescent="0.25">
      <c r="A52" s="60" t="s">
        <v>278</v>
      </c>
      <c r="B52" s="68" t="s">
        <v>84</v>
      </c>
      <c r="C52" s="70">
        <v>46400</v>
      </c>
      <c r="D52" s="71">
        <f t="shared" si="41"/>
        <v>171916.66666666666</v>
      </c>
      <c r="E52" s="71">
        <v>2063000</v>
      </c>
      <c r="F52" s="71">
        <f t="shared" si="36"/>
        <v>2063000</v>
      </c>
      <c r="G52" s="70">
        <v>2103400</v>
      </c>
      <c r="H52" s="71">
        <f t="shared" si="37"/>
        <v>-40400</v>
      </c>
      <c r="I52" s="72">
        <f t="shared" si="38"/>
        <v>1.019583131362094</v>
      </c>
      <c r="J52" s="71">
        <f t="shared" si="39"/>
        <v>-40400</v>
      </c>
      <c r="K52" s="72">
        <f t="shared" si="40"/>
        <v>-1.9583131362094039E-2</v>
      </c>
    </row>
    <row r="53" spans="1:11" x14ac:dyDescent="0.25">
      <c r="A53" s="60" t="s">
        <v>278</v>
      </c>
      <c r="B53" s="68" t="s">
        <v>86</v>
      </c>
      <c r="C53" s="70">
        <v>520000</v>
      </c>
      <c r="D53" s="71">
        <f>E53/12</f>
        <v>140000</v>
      </c>
      <c r="E53" s="71">
        <v>1680000</v>
      </c>
      <c r="F53" s="71">
        <f t="shared" si="36"/>
        <v>1680000</v>
      </c>
      <c r="G53" s="70">
        <v>1040000</v>
      </c>
      <c r="H53" s="71">
        <f t="shared" si="37"/>
        <v>640000</v>
      </c>
      <c r="I53" s="72">
        <f t="shared" si="38"/>
        <v>0.61904761904761907</v>
      </c>
      <c r="J53" s="71">
        <f t="shared" si="39"/>
        <v>640000</v>
      </c>
      <c r="K53" s="72">
        <f t="shared" si="40"/>
        <v>0.38095238095238093</v>
      </c>
    </row>
    <row r="54" spans="1:11" x14ac:dyDescent="0.25">
      <c r="A54" s="60" t="s">
        <v>278</v>
      </c>
      <c r="B54" s="68" t="s">
        <v>85</v>
      </c>
      <c r="C54" s="70">
        <v>0</v>
      </c>
      <c r="D54" s="71">
        <f>E54/12</f>
        <v>231666.66666666666</v>
      </c>
      <c r="E54" s="71">
        <v>2780000</v>
      </c>
      <c r="F54" s="71">
        <f t="shared" si="36"/>
        <v>2780000</v>
      </c>
      <c r="G54" s="70">
        <v>3228923</v>
      </c>
      <c r="H54" s="71">
        <f>F54-G54</f>
        <v>-448923</v>
      </c>
      <c r="I54" s="72">
        <f>G54/E54</f>
        <v>1.1614830935251799</v>
      </c>
      <c r="J54" s="71">
        <f>E54-G54</f>
        <v>-448923</v>
      </c>
      <c r="K54" s="72">
        <f>J54/E54</f>
        <v>-0.16148309352517987</v>
      </c>
    </row>
    <row r="55" spans="1:11" x14ac:dyDescent="0.25">
      <c r="A55" s="60" t="s">
        <v>279</v>
      </c>
      <c r="B55" s="68" t="s">
        <v>224</v>
      </c>
      <c r="C55" s="70">
        <v>275000</v>
      </c>
      <c r="D55" s="71">
        <f t="shared" si="41"/>
        <v>208000</v>
      </c>
      <c r="E55" s="71">
        <v>2496000</v>
      </c>
      <c r="F55" s="71">
        <f t="shared" si="36"/>
        <v>2496000</v>
      </c>
      <c r="G55" s="70">
        <v>2697000</v>
      </c>
      <c r="H55" s="71">
        <f t="shared" si="37"/>
        <v>-201000</v>
      </c>
      <c r="I55" s="72">
        <f t="shared" si="38"/>
        <v>1.0805288461538463</v>
      </c>
      <c r="J55" s="71">
        <f t="shared" si="39"/>
        <v>-201000</v>
      </c>
      <c r="K55" s="72">
        <f t="shared" si="40"/>
        <v>-8.0528846153846159E-2</v>
      </c>
    </row>
    <row r="56" spans="1:11" x14ac:dyDescent="0.25">
      <c r="A56" s="60" t="s">
        <v>279</v>
      </c>
      <c r="B56" s="68" t="s">
        <v>218</v>
      </c>
      <c r="C56" s="70">
        <v>0</v>
      </c>
      <c r="D56" s="71">
        <f t="shared" si="41"/>
        <v>95000</v>
      </c>
      <c r="E56" s="71">
        <v>1140000</v>
      </c>
      <c r="F56" s="71">
        <f t="shared" si="36"/>
        <v>1140000</v>
      </c>
      <c r="G56" s="70">
        <v>263564</v>
      </c>
      <c r="H56" s="71">
        <f t="shared" si="37"/>
        <v>876436</v>
      </c>
      <c r="I56" s="72">
        <f t="shared" si="38"/>
        <v>0.23119649122807018</v>
      </c>
      <c r="J56" s="71">
        <f t="shared" si="39"/>
        <v>876436</v>
      </c>
      <c r="K56" s="72">
        <f t="shared" si="40"/>
        <v>0.76880350877192982</v>
      </c>
    </row>
    <row r="57" spans="1:11" x14ac:dyDescent="0.25">
      <c r="A57" s="60">
        <v>514579</v>
      </c>
      <c r="B57" s="68" t="s">
        <v>90</v>
      </c>
      <c r="C57" s="70">
        <v>0</v>
      </c>
      <c r="D57" s="71">
        <f t="shared" si="41"/>
        <v>45000</v>
      </c>
      <c r="E57" s="71">
        <v>540000</v>
      </c>
      <c r="F57" s="71">
        <f t="shared" si="36"/>
        <v>540000</v>
      </c>
      <c r="G57" s="70">
        <v>222720</v>
      </c>
      <c r="H57" s="71">
        <f t="shared" si="37"/>
        <v>317280</v>
      </c>
      <c r="I57" s="72">
        <f t="shared" si="38"/>
        <v>0.41244444444444445</v>
      </c>
      <c r="J57" s="71">
        <f t="shared" si="39"/>
        <v>317280</v>
      </c>
      <c r="K57" s="72">
        <f t="shared" si="40"/>
        <v>0.58755555555555561</v>
      </c>
    </row>
    <row r="58" spans="1:11" x14ac:dyDescent="0.25">
      <c r="A58" s="60">
        <v>514578</v>
      </c>
      <c r="B58" s="68" t="s">
        <v>201</v>
      </c>
      <c r="C58" s="70">
        <v>0</v>
      </c>
      <c r="D58" s="71">
        <f t="shared" si="41"/>
        <v>180000</v>
      </c>
      <c r="E58" s="71">
        <v>2160000</v>
      </c>
      <c r="F58" s="71">
        <f t="shared" si="36"/>
        <v>2160000</v>
      </c>
      <c r="G58" s="70">
        <f>916533+1554855</f>
        <v>2471388</v>
      </c>
      <c r="H58" s="71">
        <f t="shared" si="37"/>
        <v>-311388</v>
      </c>
      <c r="I58" s="72">
        <f t="shared" si="38"/>
        <v>1.1441611111111112</v>
      </c>
      <c r="J58" s="71">
        <f t="shared" si="39"/>
        <v>-311388</v>
      </c>
      <c r="K58" s="72">
        <f t="shared" si="40"/>
        <v>-0.1441611111111111</v>
      </c>
    </row>
    <row r="59" spans="1:11" s="64" customFormat="1" x14ac:dyDescent="0.25">
      <c r="A59" s="63"/>
      <c r="B59" s="67" t="s">
        <v>128</v>
      </c>
      <c r="C59" s="73">
        <f t="shared" ref="C59:F59" si="42">SUM(C45:C58)</f>
        <v>2201651</v>
      </c>
      <c r="D59" s="73">
        <f t="shared" si="42"/>
        <v>2938408.5833333335</v>
      </c>
      <c r="E59" s="73">
        <f t="shared" si="42"/>
        <v>35260903</v>
      </c>
      <c r="F59" s="73">
        <f t="shared" si="42"/>
        <v>35260903</v>
      </c>
      <c r="G59" s="73">
        <f>SUM(G45:G58)</f>
        <v>30734762</v>
      </c>
      <c r="H59" s="75">
        <f t="shared" si="37"/>
        <v>4526141</v>
      </c>
      <c r="I59" s="74">
        <f t="shared" si="38"/>
        <v>0.87163853971635386</v>
      </c>
      <c r="J59" s="75">
        <f t="shared" si="39"/>
        <v>4526141</v>
      </c>
      <c r="K59" s="74">
        <f t="shared" si="40"/>
        <v>0.12836146028364617</v>
      </c>
    </row>
    <row r="60" spans="1:11" x14ac:dyDescent="0.25">
      <c r="C60" s="70"/>
      <c r="D60" s="71"/>
      <c r="E60" s="71"/>
      <c r="F60" s="71"/>
      <c r="G60" s="71"/>
      <c r="H60" s="71"/>
      <c r="I60" s="72"/>
      <c r="J60" s="71"/>
      <c r="K60" s="72"/>
    </row>
    <row r="61" spans="1:11" x14ac:dyDescent="0.25">
      <c r="B61" s="67" t="s">
        <v>149</v>
      </c>
      <c r="C61" s="70"/>
      <c r="D61" s="71"/>
      <c r="E61" s="71"/>
      <c r="F61" s="71"/>
      <c r="G61" s="71"/>
      <c r="H61" s="71"/>
      <c r="I61" s="72"/>
      <c r="J61" s="71"/>
      <c r="K61" s="72"/>
    </row>
    <row r="62" spans="1:11" x14ac:dyDescent="0.25">
      <c r="A62" s="60" t="s">
        <v>275</v>
      </c>
      <c r="B62" s="68" t="s">
        <v>219</v>
      </c>
      <c r="C62" s="70">
        <v>79000</v>
      </c>
      <c r="D62" s="71">
        <f>E62/12</f>
        <v>79000</v>
      </c>
      <c r="E62" s="71">
        <v>948000</v>
      </c>
      <c r="F62" s="71">
        <f t="shared" ref="F62:F66" si="43">(D62*12)</f>
        <v>948000</v>
      </c>
      <c r="G62" s="70">
        <v>948000</v>
      </c>
      <c r="H62" s="71">
        <f t="shared" ref="H62:H67" si="44">F62-G62</f>
        <v>0</v>
      </c>
      <c r="I62" s="72">
        <f t="shared" ref="I62:I67" si="45">G62/E62</f>
        <v>1</v>
      </c>
      <c r="J62" s="71">
        <f t="shared" ref="J62:J67" si="46">E62-G62</f>
        <v>0</v>
      </c>
      <c r="K62" s="72">
        <f t="shared" ref="K62:K67" si="47">J62/E62</f>
        <v>0</v>
      </c>
    </row>
    <row r="63" spans="1:11" x14ac:dyDescent="0.25">
      <c r="A63" s="60" t="s">
        <v>275</v>
      </c>
      <c r="B63" s="68" t="s">
        <v>220</v>
      </c>
      <c r="C63" s="70">
        <f>718093-C62</f>
        <v>639093</v>
      </c>
      <c r="D63" s="71">
        <f>E63/12</f>
        <v>517000</v>
      </c>
      <c r="E63" s="71">
        <v>6204000</v>
      </c>
      <c r="F63" s="71">
        <f t="shared" si="43"/>
        <v>6204000</v>
      </c>
      <c r="G63" s="70">
        <f>7043490-G62</f>
        <v>6095490</v>
      </c>
      <c r="H63" s="71">
        <f t="shared" si="44"/>
        <v>108510</v>
      </c>
      <c r="I63" s="72">
        <f t="shared" si="45"/>
        <v>0.98250967117988397</v>
      </c>
      <c r="J63" s="71">
        <f t="shared" si="46"/>
        <v>108510</v>
      </c>
      <c r="K63" s="72">
        <f t="shared" si="47"/>
        <v>1.7490328820116054E-2</v>
      </c>
    </row>
    <row r="64" spans="1:11" x14ac:dyDescent="0.25">
      <c r="A64" s="60">
        <v>515010</v>
      </c>
      <c r="B64" s="68" t="s">
        <v>96</v>
      </c>
      <c r="C64" s="70">
        <v>346000</v>
      </c>
      <c r="D64" s="71">
        <f>E64/12</f>
        <v>265000</v>
      </c>
      <c r="E64" s="71">
        <v>3180000</v>
      </c>
      <c r="F64" s="71">
        <f t="shared" si="43"/>
        <v>3180000</v>
      </c>
      <c r="G64" s="70">
        <v>4377088</v>
      </c>
      <c r="H64" s="71">
        <f t="shared" si="44"/>
        <v>-1197088</v>
      </c>
      <c r="I64" s="72">
        <f t="shared" si="45"/>
        <v>1.3764427672955974</v>
      </c>
      <c r="J64" s="71">
        <f t="shared" si="46"/>
        <v>-1197088</v>
      </c>
      <c r="K64" s="72">
        <f t="shared" si="47"/>
        <v>-0.3764427672955975</v>
      </c>
    </row>
    <row r="65" spans="1:11" x14ac:dyDescent="0.25">
      <c r="A65" s="60" t="s">
        <v>173</v>
      </c>
      <c r="B65" s="68" t="s">
        <v>97</v>
      </c>
      <c r="C65" s="70">
        <v>2904700</v>
      </c>
      <c r="D65" s="71">
        <f>E65/12</f>
        <v>2080000</v>
      </c>
      <c r="E65" s="71">
        <v>24960000</v>
      </c>
      <c r="F65" s="71">
        <f t="shared" si="43"/>
        <v>24960000</v>
      </c>
      <c r="G65" s="70">
        <v>27104953</v>
      </c>
      <c r="H65" s="71">
        <f t="shared" si="44"/>
        <v>-2144953</v>
      </c>
      <c r="I65" s="72">
        <f t="shared" si="45"/>
        <v>1.0859356169871794</v>
      </c>
      <c r="J65" s="71">
        <f t="shared" si="46"/>
        <v>-2144953</v>
      </c>
      <c r="K65" s="72">
        <f t="shared" si="47"/>
        <v>-8.5935616987179483E-2</v>
      </c>
    </row>
    <row r="66" spans="1:11" x14ac:dyDescent="0.25">
      <c r="A66" s="60">
        <v>515019</v>
      </c>
      <c r="B66" s="68" t="s">
        <v>147</v>
      </c>
      <c r="C66" s="70">
        <v>0</v>
      </c>
      <c r="D66" s="71">
        <f>E66/12</f>
        <v>150000</v>
      </c>
      <c r="E66" s="71">
        <v>1800000</v>
      </c>
      <c r="F66" s="71">
        <f t="shared" si="43"/>
        <v>1800000</v>
      </c>
      <c r="G66" s="70">
        <v>2461198</v>
      </c>
      <c r="H66" s="71">
        <f t="shared" si="44"/>
        <v>-661198</v>
      </c>
      <c r="I66" s="72">
        <f t="shared" si="45"/>
        <v>1.3673322222222222</v>
      </c>
      <c r="J66" s="71">
        <f t="shared" si="46"/>
        <v>-661198</v>
      </c>
      <c r="K66" s="72">
        <f t="shared" si="47"/>
        <v>-0.36733222222222223</v>
      </c>
    </row>
    <row r="67" spans="1:11" s="64" customFormat="1" x14ac:dyDescent="0.25">
      <c r="A67" s="63"/>
      <c r="B67" s="67" t="s">
        <v>131</v>
      </c>
      <c r="C67" s="73">
        <f t="shared" ref="C67:F67" si="48">SUM(C62:C66)</f>
        <v>3968793</v>
      </c>
      <c r="D67" s="73">
        <f t="shared" si="48"/>
        <v>3091000</v>
      </c>
      <c r="E67" s="73">
        <f>SUM(E62:E66)</f>
        <v>37092000</v>
      </c>
      <c r="F67" s="73">
        <f t="shared" si="48"/>
        <v>37092000</v>
      </c>
      <c r="G67" s="73">
        <f>SUM(G62:G66)</f>
        <v>40986729</v>
      </c>
      <c r="H67" s="75">
        <f t="shared" si="44"/>
        <v>-3894729</v>
      </c>
      <c r="I67" s="74">
        <f t="shared" si="45"/>
        <v>1.1050018602394047</v>
      </c>
      <c r="J67" s="75">
        <f t="shared" si="46"/>
        <v>-3894729</v>
      </c>
      <c r="K67" s="74">
        <f t="shared" si="47"/>
        <v>-0.10500186023940472</v>
      </c>
    </row>
    <row r="68" spans="1:11" x14ac:dyDescent="0.25">
      <c r="C68" s="70"/>
      <c r="D68" s="71"/>
      <c r="E68" s="71"/>
      <c r="F68" s="71"/>
      <c r="G68" s="71"/>
      <c r="H68" s="71"/>
      <c r="I68" s="72"/>
      <c r="J68" s="71"/>
      <c r="K68" s="72"/>
    </row>
    <row r="69" spans="1:11" x14ac:dyDescent="0.25">
      <c r="B69" s="67" t="s">
        <v>132</v>
      </c>
      <c r="C69" s="70"/>
      <c r="D69" s="71"/>
      <c r="E69" s="71"/>
      <c r="F69" s="71"/>
      <c r="G69" s="71"/>
      <c r="H69" s="71"/>
      <c r="I69" s="72"/>
      <c r="J69" s="71"/>
      <c r="K69" s="72"/>
    </row>
    <row r="70" spans="1:11" x14ac:dyDescent="0.25">
      <c r="A70" s="60" t="s">
        <v>188</v>
      </c>
      <c r="B70" s="68" t="s">
        <v>103</v>
      </c>
      <c r="C70" s="70">
        <v>45400</v>
      </c>
      <c r="D70" s="71">
        <f>E70/12</f>
        <v>62000</v>
      </c>
      <c r="E70" s="71">
        <v>744000</v>
      </c>
      <c r="F70" s="71">
        <f t="shared" ref="F70:F78" si="49">(D70*12)</f>
        <v>744000</v>
      </c>
      <c r="G70" s="70">
        <v>677263</v>
      </c>
      <c r="H70" s="71">
        <f t="shared" ref="H70:H79" si="50">F70-G70</f>
        <v>66737</v>
      </c>
      <c r="I70" s="72">
        <f t="shared" ref="I70:I79" si="51">G70/E70</f>
        <v>0.91029973118279572</v>
      </c>
      <c r="J70" s="71">
        <f t="shared" ref="J70:J79" si="52">E70-G70</f>
        <v>66737</v>
      </c>
      <c r="K70" s="72">
        <f t="shared" ref="K70:K79" si="53">J70/E70</f>
        <v>8.9700268817204304E-2</v>
      </c>
    </row>
    <row r="71" spans="1:11" x14ac:dyDescent="0.25">
      <c r="A71" s="60" t="s">
        <v>189</v>
      </c>
      <c r="B71" s="68" t="s">
        <v>169</v>
      </c>
      <c r="C71" s="70">
        <v>20000</v>
      </c>
      <c r="D71" s="71">
        <f>E71/12</f>
        <v>20000</v>
      </c>
      <c r="E71" s="71">
        <v>240000</v>
      </c>
      <c r="F71" s="71">
        <f t="shared" si="49"/>
        <v>240000</v>
      </c>
      <c r="G71" s="70">
        <v>217750</v>
      </c>
      <c r="H71" s="71">
        <f t="shared" si="50"/>
        <v>22250</v>
      </c>
      <c r="I71" s="72">
        <f t="shared" si="51"/>
        <v>0.90729166666666672</v>
      </c>
      <c r="J71" s="71">
        <f t="shared" si="52"/>
        <v>22250</v>
      </c>
      <c r="K71" s="72">
        <f t="shared" si="53"/>
        <v>9.2708333333333337E-2</v>
      </c>
    </row>
    <row r="72" spans="1:11" x14ac:dyDescent="0.25">
      <c r="A72" s="60">
        <v>519520</v>
      </c>
      <c r="B72" s="68" t="s">
        <v>99</v>
      </c>
      <c r="C72" s="70">
        <v>0</v>
      </c>
      <c r="D72" s="71">
        <f>E72/12</f>
        <v>25000</v>
      </c>
      <c r="E72" s="71">
        <v>300000</v>
      </c>
      <c r="F72" s="71">
        <f t="shared" si="49"/>
        <v>300000</v>
      </c>
      <c r="G72" s="70">
        <f>272280+60000</f>
        <v>332280</v>
      </c>
      <c r="H72" s="71">
        <f t="shared" si="50"/>
        <v>-32280</v>
      </c>
      <c r="I72" s="72">
        <f t="shared" si="51"/>
        <v>1.1075999999999999</v>
      </c>
      <c r="J72" s="71">
        <f t="shared" si="52"/>
        <v>-32280</v>
      </c>
      <c r="K72" s="72">
        <f t="shared" si="53"/>
        <v>-0.1076</v>
      </c>
    </row>
    <row r="73" spans="1:11" x14ac:dyDescent="0.25">
      <c r="A73" s="60">
        <v>519505</v>
      </c>
      <c r="B73" s="68" t="s">
        <v>133</v>
      </c>
      <c r="C73" s="70">
        <v>1575000</v>
      </c>
      <c r="D73" s="71">
        <f t="shared" ref="D73:D78" si="54">E73/12</f>
        <v>150000</v>
      </c>
      <c r="E73" s="71">
        <v>1800000</v>
      </c>
      <c r="F73" s="71">
        <f t="shared" si="49"/>
        <v>1800000</v>
      </c>
      <c r="G73" s="70">
        <v>1575000</v>
      </c>
      <c r="H73" s="71">
        <f t="shared" si="50"/>
        <v>225000</v>
      </c>
      <c r="I73" s="72">
        <f t="shared" si="51"/>
        <v>0.875</v>
      </c>
      <c r="J73" s="71">
        <f t="shared" si="52"/>
        <v>225000</v>
      </c>
      <c r="K73" s="72">
        <f t="shared" si="53"/>
        <v>0.125</v>
      </c>
    </row>
    <row r="74" spans="1:11" x14ac:dyDescent="0.25">
      <c r="A74" s="60">
        <v>519567</v>
      </c>
      <c r="B74" s="68" t="s">
        <v>135</v>
      </c>
      <c r="C74" s="70">
        <v>586457</v>
      </c>
      <c r="D74" s="71">
        <f t="shared" si="54"/>
        <v>50000</v>
      </c>
      <c r="E74" s="71">
        <v>600000</v>
      </c>
      <c r="F74" s="71">
        <f t="shared" si="49"/>
        <v>600000</v>
      </c>
      <c r="G74" s="70">
        <v>586457</v>
      </c>
      <c r="H74" s="71">
        <f t="shared" si="50"/>
        <v>13543</v>
      </c>
      <c r="I74" s="72">
        <f t="shared" si="51"/>
        <v>0.97742833333333334</v>
      </c>
      <c r="J74" s="71">
        <f t="shared" si="52"/>
        <v>13543</v>
      </c>
      <c r="K74" s="72">
        <f t="shared" si="53"/>
        <v>2.2571666666666667E-2</v>
      </c>
    </row>
    <row r="75" spans="1:11" x14ac:dyDescent="0.25">
      <c r="A75" s="60">
        <v>519580</v>
      </c>
      <c r="B75" s="68" t="s">
        <v>137</v>
      </c>
      <c r="C75" s="70">
        <v>44000</v>
      </c>
      <c r="D75" s="71">
        <f>E75/12</f>
        <v>195000</v>
      </c>
      <c r="E75" s="71">
        <v>2340000</v>
      </c>
      <c r="F75" s="71">
        <f t="shared" si="49"/>
        <v>2340000</v>
      </c>
      <c r="G75" s="70">
        <v>1954656</v>
      </c>
      <c r="H75" s="71">
        <f t="shared" si="50"/>
        <v>385344</v>
      </c>
      <c r="I75" s="72">
        <f t="shared" si="51"/>
        <v>0.83532307692307695</v>
      </c>
      <c r="J75" s="71">
        <f t="shared" si="52"/>
        <v>385344</v>
      </c>
      <c r="K75" s="72">
        <f t="shared" si="53"/>
        <v>0.16467692307692308</v>
      </c>
    </row>
    <row r="76" spans="1:11" x14ac:dyDescent="0.25">
      <c r="A76" s="60" t="s">
        <v>190</v>
      </c>
      <c r="B76" s="68" t="s">
        <v>134</v>
      </c>
      <c r="C76" s="70">
        <v>0</v>
      </c>
      <c r="D76" s="71">
        <f>E76/12</f>
        <v>140000</v>
      </c>
      <c r="E76" s="71">
        <v>1680000</v>
      </c>
      <c r="F76" s="71">
        <f t="shared" si="49"/>
        <v>1680000</v>
      </c>
      <c r="G76" s="70">
        <v>1872850</v>
      </c>
      <c r="H76" s="71">
        <f t="shared" si="50"/>
        <v>-192850</v>
      </c>
      <c r="I76" s="72">
        <f t="shared" si="51"/>
        <v>1.1147916666666666</v>
      </c>
      <c r="J76" s="71">
        <f t="shared" si="52"/>
        <v>-192850</v>
      </c>
      <c r="K76" s="72">
        <f t="shared" si="53"/>
        <v>-0.11479166666666667</v>
      </c>
    </row>
    <row r="77" spans="1:11" x14ac:dyDescent="0.25">
      <c r="A77" s="60">
        <v>519599</v>
      </c>
      <c r="B77" s="68" t="s">
        <v>136</v>
      </c>
      <c r="C77" s="70">
        <v>222220</v>
      </c>
      <c r="D77" s="71">
        <f t="shared" si="54"/>
        <v>10000</v>
      </c>
      <c r="E77" s="71">
        <v>120000</v>
      </c>
      <c r="F77" s="71">
        <f t="shared" si="49"/>
        <v>120000</v>
      </c>
      <c r="G77" s="70">
        <v>222220</v>
      </c>
      <c r="H77" s="71">
        <f t="shared" si="50"/>
        <v>-102220</v>
      </c>
      <c r="I77" s="72">
        <f t="shared" si="51"/>
        <v>1.8518333333333334</v>
      </c>
      <c r="J77" s="71">
        <f t="shared" si="52"/>
        <v>-102220</v>
      </c>
      <c r="K77" s="72">
        <f t="shared" si="53"/>
        <v>-0.85183333333333333</v>
      </c>
    </row>
    <row r="78" spans="1:11" x14ac:dyDescent="0.25">
      <c r="A78" s="60">
        <v>519599</v>
      </c>
      <c r="B78" s="68" t="s">
        <v>148</v>
      </c>
      <c r="C78" s="70">
        <v>212300</v>
      </c>
      <c r="D78" s="71">
        <f t="shared" si="54"/>
        <v>120000</v>
      </c>
      <c r="E78" s="71">
        <v>1440000</v>
      </c>
      <c r="F78" s="71">
        <f t="shared" si="49"/>
        <v>1440000</v>
      </c>
      <c r="G78" s="70">
        <v>964950</v>
      </c>
      <c r="H78" s="71">
        <f t="shared" si="50"/>
        <v>475050</v>
      </c>
      <c r="I78" s="72">
        <f t="shared" si="51"/>
        <v>0.67010416666666661</v>
      </c>
      <c r="J78" s="71">
        <f t="shared" si="52"/>
        <v>475050</v>
      </c>
      <c r="K78" s="72">
        <f t="shared" si="53"/>
        <v>0.32989583333333333</v>
      </c>
    </row>
    <row r="79" spans="1:11" s="64" customFormat="1" x14ac:dyDescent="0.25">
      <c r="A79" s="63"/>
      <c r="B79" s="67" t="s">
        <v>138</v>
      </c>
      <c r="C79" s="73">
        <f>SUM(C70:C78)</f>
        <v>2705377</v>
      </c>
      <c r="D79" s="73">
        <f>SUM(D70:D78)</f>
        <v>772000</v>
      </c>
      <c r="E79" s="73">
        <f>SUM(E70:E78)</f>
        <v>9264000</v>
      </c>
      <c r="F79" s="73">
        <f>SUM(F70:F78)</f>
        <v>9264000</v>
      </c>
      <c r="G79" s="73">
        <f>SUM(G70:G78)</f>
        <v>8403426</v>
      </c>
      <c r="H79" s="75">
        <f t="shared" si="50"/>
        <v>860574</v>
      </c>
      <c r="I79" s="74">
        <f t="shared" si="51"/>
        <v>0.90710556994818647</v>
      </c>
      <c r="J79" s="75">
        <f t="shared" si="52"/>
        <v>860574</v>
      </c>
      <c r="K79" s="74">
        <f t="shared" si="53"/>
        <v>9.289443005181347E-2</v>
      </c>
    </row>
    <row r="80" spans="1:11" x14ac:dyDescent="0.25">
      <c r="C80" s="70"/>
      <c r="D80" s="71"/>
      <c r="E80" s="71"/>
      <c r="F80" s="71"/>
      <c r="G80" s="71"/>
      <c r="H80" s="71"/>
      <c r="I80" s="72"/>
      <c r="J80" s="71"/>
      <c r="K80" s="72"/>
    </row>
    <row r="81" spans="1:11" s="65" customFormat="1" x14ac:dyDescent="0.25">
      <c r="A81" s="66">
        <v>519925</v>
      </c>
      <c r="B81" s="67" t="s">
        <v>100</v>
      </c>
      <c r="C81" s="73">
        <v>265170</v>
      </c>
      <c r="D81" s="75">
        <f>E81/12</f>
        <v>265170</v>
      </c>
      <c r="E81" s="75">
        <v>3182040</v>
      </c>
      <c r="F81" s="75">
        <f>(D81*12)</f>
        <v>3182040</v>
      </c>
      <c r="G81" s="73">
        <v>3182040</v>
      </c>
      <c r="H81" s="75">
        <f t="shared" ref="H81:H85" si="55">F81-G81</f>
        <v>0</v>
      </c>
      <c r="I81" s="74">
        <f t="shared" ref="I81:I86" si="56">G81/E81</f>
        <v>1</v>
      </c>
      <c r="J81" s="75">
        <f>E81-G81</f>
        <v>0</v>
      </c>
      <c r="K81" s="74">
        <f>J81/E81</f>
        <v>0</v>
      </c>
    </row>
    <row r="82" spans="1:11" s="65" customFormat="1" x14ac:dyDescent="0.25">
      <c r="A82" s="66" t="s">
        <v>236</v>
      </c>
      <c r="B82" s="67" t="s">
        <v>139</v>
      </c>
      <c r="C82" s="73">
        <f>SUM(C83:C85)</f>
        <v>1380040</v>
      </c>
      <c r="D82" s="75">
        <f>E82/12</f>
        <v>1000000</v>
      </c>
      <c r="E82" s="73">
        <v>12000000</v>
      </c>
      <c r="F82" s="75">
        <f>(D82*12)</f>
        <v>12000000</v>
      </c>
      <c r="G82" s="73">
        <f>SUM(G83:G85)</f>
        <v>12000000</v>
      </c>
      <c r="H82" s="75">
        <f t="shared" si="55"/>
        <v>0</v>
      </c>
      <c r="I82" s="74">
        <f t="shared" si="56"/>
        <v>1</v>
      </c>
      <c r="J82" s="75">
        <f t="shared" ref="J82:J85" si="57">E82-G82</f>
        <v>0</v>
      </c>
      <c r="K82" s="74">
        <f t="shared" ref="K82:K85" si="58">J82/E82</f>
        <v>0</v>
      </c>
    </row>
    <row r="83" spans="1:11" x14ac:dyDescent="0.25">
      <c r="B83" s="68" t="s">
        <v>325</v>
      </c>
      <c r="C83" s="70">
        <v>0</v>
      </c>
      <c r="D83" s="71">
        <f t="shared" ref="D83:D85" si="59">E83/12</f>
        <v>615416.66666666663</v>
      </c>
      <c r="E83" s="71">
        <v>7385000</v>
      </c>
      <c r="F83" s="71">
        <f t="shared" ref="F83:F85" si="60">(D83*12)</f>
        <v>7385000</v>
      </c>
      <c r="G83" s="70">
        <v>7385000</v>
      </c>
      <c r="H83" s="71">
        <v>0</v>
      </c>
      <c r="I83" s="72">
        <f t="shared" si="56"/>
        <v>1</v>
      </c>
      <c r="J83" s="71">
        <f t="shared" si="57"/>
        <v>0</v>
      </c>
      <c r="K83" s="72">
        <f t="shared" si="58"/>
        <v>0</v>
      </c>
    </row>
    <row r="84" spans="1:11" x14ac:dyDescent="0.25">
      <c r="B84" s="68" t="s">
        <v>326</v>
      </c>
      <c r="C84" s="70">
        <v>232440</v>
      </c>
      <c r="D84" s="71">
        <f t="shared" si="59"/>
        <v>288950</v>
      </c>
      <c r="E84" s="71">
        <f>3234960+232440</f>
        <v>3467400</v>
      </c>
      <c r="F84" s="71">
        <f t="shared" si="60"/>
        <v>3467400</v>
      </c>
      <c r="G84" s="70">
        <f>1409300+333000+1362660+130000+232440</f>
        <v>3467400</v>
      </c>
      <c r="H84" s="71">
        <f t="shared" si="55"/>
        <v>0</v>
      </c>
      <c r="I84" s="72">
        <f t="shared" si="56"/>
        <v>1</v>
      </c>
      <c r="J84" s="71">
        <f t="shared" si="57"/>
        <v>0</v>
      </c>
      <c r="K84" s="72">
        <f t="shared" si="58"/>
        <v>0</v>
      </c>
    </row>
    <row r="85" spans="1:11" x14ac:dyDescent="0.25">
      <c r="B85" s="68" t="s">
        <v>327</v>
      </c>
      <c r="C85" s="70">
        <v>1147600</v>
      </c>
      <c r="D85" s="71">
        <f t="shared" si="59"/>
        <v>95633.333333333328</v>
      </c>
      <c r="E85" s="71">
        <v>1147600</v>
      </c>
      <c r="F85" s="71">
        <f t="shared" si="60"/>
        <v>1147600</v>
      </c>
      <c r="G85" s="70">
        <v>1147600</v>
      </c>
      <c r="H85" s="71">
        <f t="shared" si="55"/>
        <v>0</v>
      </c>
      <c r="I85" s="72">
        <f t="shared" si="56"/>
        <v>1</v>
      </c>
      <c r="J85" s="71">
        <f t="shared" si="57"/>
        <v>0</v>
      </c>
      <c r="K85" s="72">
        <f t="shared" si="58"/>
        <v>0</v>
      </c>
    </row>
    <row r="86" spans="1:11" s="62" customFormat="1" x14ac:dyDescent="0.25">
      <c r="A86" s="63"/>
      <c r="B86" s="67" t="s">
        <v>243</v>
      </c>
      <c r="C86" s="73">
        <f>C81+C82</f>
        <v>1645210</v>
      </c>
      <c r="D86" s="73">
        <f>D81+D82</f>
        <v>1265170</v>
      </c>
      <c r="E86" s="73">
        <f>E81+E82</f>
        <v>15182040</v>
      </c>
      <c r="F86" s="73">
        <f>F81+F82</f>
        <v>15182040</v>
      </c>
      <c r="G86" s="73">
        <f>G81+G82</f>
        <v>15182040</v>
      </c>
      <c r="H86" s="75">
        <f t="shared" ref="H86" si="61">F86-G86</f>
        <v>0</v>
      </c>
      <c r="I86" s="74">
        <f t="shared" si="56"/>
        <v>1</v>
      </c>
      <c r="J86" s="75">
        <f t="shared" ref="J86" si="62">E86-G86</f>
        <v>0</v>
      </c>
      <c r="K86" s="74">
        <f t="shared" ref="K86" si="63">J86/E86</f>
        <v>0</v>
      </c>
    </row>
    <row r="87" spans="1:11" x14ac:dyDescent="0.25">
      <c r="C87" s="70"/>
      <c r="D87" s="71"/>
      <c r="E87" s="71"/>
      <c r="F87" s="71"/>
      <c r="G87" s="71"/>
      <c r="H87" s="71"/>
      <c r="I87" s="72"/>
      <c r="J87" s="71"/>
      <c r="K87" s="72"/>
    </row>
    <row r="88" spans="1:11" x14ac:dyDescent="0.25">
      <c r="B88" s="67" t="s">
        <v>140</v>
      </c>
      <c r="C88" s="70"/>
      <c r="D88" s="71"/>
      <c r="E88" s="71"/>
      <c r="F88" s="71"/>
      <c r="G88" s="71"/>
      <c r="H88" s="71"/>
      <c r="I88" s="72"/>
      <c r="J88" s="71"/>
      <c r="K88" s="72"/>
    </row>
    <row r="89" spans="1:11" x14ac:dyDescent="0.25">
      <c r="A89" s="60">
        <v>530505</v>
      </c>
      <c r="B89" s="68" t="s">
        <v>141</v>
      </c>
      <c r="C89" s="70">
        <v>437</v>
      </c>
      <c r="D89" s="71">
        <f>E89/12</f>
        <v>107000</v>
      </c>
      <c r="E89" s="71">
        <v>1284000</v>
      </c>
      <c r="F89" s="71">
        <f>(D89*12)</f>
        <v>1284000</v>
      </c>
      <c r="G89" s="70">
        <v>1295791</v>
      </c>
      <c r="H89" s="71">
        <f t="shared" ref="H89:H90" si="64">F89-G89</f>
        <v>-11791</v>
      </c>
      <c r="I89" s="72">
        <f t="shared" ref="I89:I90" si="65">G89/E89</f>
        <v>1.0091830218068536</v>
      </c>
      <c r="J89" s="71">
        <f t="shared" ref="J89:J90" si="66">E89-G89</f>
        <v>-11791</v>
      </c>
      <c r="K89" s="72">
        <f t="shared" ref="K89:K90" si="67">J89/E89</f>
        <v>-9.1830218068535818E-3</v>
      </c>
    </row>
    <row r="90" spans="1:11" s="64" customFormat="1" x14ac:dyDescent="0.25">
      <c r="A90" s="63"/>
      <c r="B90" s="67" t="s">
        <v>142</v>
      </c>
      <c r="C90" s="73">
        <f t="shared" ref="C90:G90" si="68">SUM(C89:C89)</f>
        <v>437</v>
      </c>
      <c r="D90" s="73">
        <f t="shared" si="68"/>
        <v>107000</v>
      </c>
      <c r="E90" s="73">
        <f t="shared" si="68"/>
        <v>1284000</v>
      </c>
      <c r="F90" s="73">
        <f t="shared" si="68"/>
        <v>1284000</v>
      </c>
      <c r="G90" s="73">
        <f t="shared" si="68"/>
        <v>1295791</v>
      </c>
      <c r="H90" s="75">
        <f t="shared" si="64"/>
        <v>-11791</v>
      </c>
      <c r="I90" s="74">
        <f t="shared" si="65"/>
        <v>1.0091830218068536</v>
      </c>
      <c r="J90" s="75">
        <f t="shared" si="66"/>
        <v>-11791</v>
      </c>
      <c r="K90" s="74">
        <f t="shared" si="67"/>
        <v>-9.1830218068535818E-3</v>
      </c>
    </row>
    <row r="91" spans="1:11" x14ac:dyDescent="0.25">
      <c r="C91" s="70"/>
      <c r="D91" s="71"/>
      <c r="E91" s="71"/>
      <c r="F91" s="71"/>
      <c r="G91" s="71"/>
      <c r="H91" s="71"/>
      <c r="I91" s="72"/>
      <c r="J91" s="71"/>
      <c r="K91" s="72"/>
    </row>
    <row r="92" spans="1:11" s="64" customFormat="1" x14ac:dyDescent="0.25">
      <c r="A92" s="63"/>
      <c r="B92" s="67" t="s">
        <v>298</v>
      </c>
      <c r="C92" s="73">
        <f t="shared" ref="C92:H92" si="69">C16+C21+C25+C38+C42+C59+C67+C79+C86+C90</f>
        <v>25667742</v>
      </c>
      <c r="D92" s="73">
        <f t="shared" si="69"/>
        <v>24104822.5</v>
      </c>
      <c r="E92" s="73">
        <f t="shared" si="69"/>
        <v>289257870</v>
      </c>
      <c r="F92" s="73">
        <f t="shared" si="69"/>
        <v>289257870</v>
      </c>
      <c r="G92" s="73">
        <f t="shared" si="69"/>
        <v>285171677</v>
      </c>
      <c r="H92" s="73">
        <f t="shared" si="69"/>
        <v>4086193</v>
      </c>
      <c r="I92" s="74">
        <f t="shared" ref="I92" si="70">G92/E92</f>
        <v>0.98587352869603861</v>
      </c>
      <c r="J92" s="73">
        <f>J16+J21+J25+J38+J42+J59+J67+J79+J86+J90</f>
        <v>4086193</v>
      </c>
      <c r="K92" s="74">
        <f>J92/E92</f>
        <v>1.412647130396141E-2</v>
      </c>
    </row>
    <row r="93" spans="1:11" s="64" customFormat="1" x14ac:dyDescent="0.25">
      <c r="A93" s="63"/>
      <c r="B93" s="67"/>
      <c r="C93" s="150"/>
      <c r="D93" s="150"/>
      <c r="E93" s="150"/>
      <c r="F93" s="150"/>
      <c r="G93" s="150"/>
      <c r="H93" s="150"/>
      <c r="I93" s="151"/>
      <c r="J93" s="150"/>
      <c r="K93" s="151"/>
    </row>
    <row r="94" spans="1:11" s="146" customFormat="1" x14ac:dyDescent="0.25">
      <c r="A94" s="147" t="s">
        <v>293</v>
      </c>
      <c r="C94" s="150">
        <f t="shared" ref="C94:H94" si="71">C9-C92</f>
        <v>-1567742</v>
      </c>
      <c r="D94" s="150">
        <f t="shared" si="71"/>
        <v>0</v>
      </c>
      <c r="E94" s="150">
        <f t="shared" si="71"/>
        <v>0</v>
      </c>
      <c r="F94" s="150">
        <f t="shared" si="71"/>
        <v>0</v>
      </c>
      <c r="G94" s="150">
        <f t="shared" si="71"/>
        <v>4028323</v>
      </c>
      <c r="H94" s="152">
        <f t="shared" si="71"/>
        <v>-4028323</v>
      </c>
      <c r="I94" s="74">
        <v>0</v>
      </c>
      <c r="J94" s="152">
        <f>J9-J92</f>
        <v>-4028323</v>
      </c>
      <c r="K94" s="151">
        <v>0</v>
      </c>
    </row>
    <row r="95" spans="1:11" s="146" customFormat="1" x14ac:dyDescent="0.25">
      <c r="B95" s="147"/>
      <c r="C95" s="150"/>
      <c r="D95" s="150"/>
      <c r="E95" s="150"/>
      <c r="F95" s="150"/>
      <c r="G95" s="150"/>
      <c r="H95" s="152"/>
      <c r="I95" s="151"/>
      <c r="J95" s="152"/>
      <c r="K95" s="151"/>
    </row>
    <row r="96" spans="1:11" s="64" customFormat="1" x14ac:dyDescent="0.25">
      <c r="A96" s="63"/>
      <c r="B96" s="67" t="s">
        <v>289</v>
      </c>
      <c r="C96" s="150"/>
      <c r="D96" s="150"/>
      <c r="E96" s="150"/>
      <c r="F96" s="150"/>
      <c r="G96" s="150"/>
      <c r="H96" s="150"/>
      <c r="I96" s="151"/>
      <c r="J96" s="150"/>
      <c r="K96" s="151"/>
    </row>
    <row r="97" spans="1:11" x14ac:dyDescent="0.25">
      <c r="A97" s="60" t="s">
        <v>280</v>
      </c>
      <c r="B97" s="95" t="s">
        <v>294</v>
      </c>
      <c r="C97" s="61">
        <v>2413000</v>
      </c>
      <c r="D97" s="71">
        <f t="shared" ref="D97:D98" si="72">E97/12</f>
        <v>2412177.5</v>
      </c>
      <c r="E97" s="71">
        <v>28946130</v>
      </c>
      <c r="F97" s="71">
        <f t="shared" ref="F97:F98" si="73">(D97*12)</f>
        <v>28946130</v>
      </c>
      <c r="G97" s="50">
        <f>C97*12</f>
        <v>28956000</v>
      </c>
      <c r="H97" s="71">
        <f t="shared" ref="H97:H98" si="74">F97-G97</f>
        <v>-9870</v>
      </c>
      <c r="I97" s="72">
        <f t="shared" ref="I97" si="75">G97/E97</f>
        <v>1.000340978224032</v>
      </c>
      <c r="J97" s="71">
        <f>E97-G97</f>
        <v>-9870</v>
      </c>
      <c r="K97" s="72">
        <f t="shared" ref="K97:K98" si="76">J97/E97</f>
        <v>-3.4097822403202088E-4</v>
      </c>
    </row>
    <row r="98" spans="1:11" x14ac:dyDescent="0.25">
      <c r="A98" s="60" t="s">
        <v>280</v>
      </c>
      <c r="B98" s="95" t="s">
        <v>271</v>
      </c>
      <c r="C98" s="70">
        <v>0</v>
      </c>
      <c r="D98" s="71">
        <f t="shared" si="72"/>
        <v>2924750</v>
      </c>
      <c r="E98" s="71">
        <v>35097000</v>
      </c>
      <c r="F98" s="71">
        <f t="shared" si="73"/>
        <v>35097000</v>
      </c>
      <c r="G98" s="70">
        <v>35097000</v>
      </c>
      <c r="H98" s="71">
        <f t="shared" si="74"/>
        <v>0</v>
      </c>
      <c r="I98" s="72">
        <f>G98/E98</f>
        <v>1</v>
      </c>
      <c r="J98" s="71">
        <f>E98-G98</f>
        <v>0</v>
      </c>
      <c r="K98" s="72">
        <f t="shared" si="76"/>
        <v>0</v>
      </c>
    </row>
    <row r="99" spans="1:11" s="65" customFormat="1" x14ac:dyDescent="0.25">
      <c r="A99" s="148" t="s">
        <v>304</v>
      </c>
      <c r="C99" s="150">
        <f>SUM(C97:C98)</f>
        <v>2413000</v>
      </c>
      <c r="D99" s="150">
        <f t="shared" ref="D99:G99" si="77">SUM(D97:D98)</f>
        <v>5336927.5</v>
      </c>
      <c r="E99" s="150">
        <f t="shared" si="77"/>
        <v>64043130</v>
      </c>
      <c r="F99" s="150">
        <f t="shared" si="77"/>
        <v>64043130</v>
      </c>
      <c r="G99" s="150">
        <f t="shared" si="77"/>
        <v>64053000</v>
      </c>
      <c r="H99" s="154">
        <f>+F99-G99</f>
        <v>-9870</v>
      </c>
      <c r="I99" s="74">
        <f t="shared" ref="I99" si="78">G99/E99</f>
        <v>1.0001541148910118</v>
      </c>
      <c r="J99" s="75">
        <f>E99-G99</f>
        <v>-9870</v>
      </c>
      <c r="K99" s="151">
        <f>J99/E99</f>
        <v>-1.5411489101172912E-4</v>
      </c>
    </row>
    <row r="100" spans="1:11" x14ac:dyDescent="0.25">
      <c r="A100" s="60" t="s">
        <v>281</v>
      </c>
      <c r="B100" s="69" t="s">
        <v>239</v>
      </c>
      <c r="C100" s="70">
        <f>15700+900</f>
        <v>16600</v>
      </c>
      <c r="D100" s="71">
        <f>E100/12</f>
        <v>0</v>
      </c>
      <c r="E100" s="71">
        <v>0</v>
      </c>
      <c r="F100" s="71">
        <f t="shared" ref="F100:F101" si="79">(D100*12)</f>
        <v>0</v>
      </c>
      <c r="G100" s="70">
        <f>414900+304200</f>
        <v>719100</v>
      </c>
      <c r="H100" s="71">
        <f>F100-G100</f>
        <v>-719100</v>
      </c>
      <c r="I100" s="72">
        <v>0</v>
      </c>
      <c r="J100" s="71">
        <f>E100-G100</f>
        <v>-719100</v>
      </c>
      <c r="K100" s="72">
        <v>0</v>
      </c>
    </row>
    <row r="101" spans="1:11" x14ac:dyDescent="0.25">
      <c r="A101" s="60" t="s">
        <v>281</v>
      </c>
      <c r="B101" s="69" t="s">
        <v>113</v>
      </c>
      <c r="C101" s="70">
        <v>41513</v>
      </c>
      <c r="D101" s="71">
        <f>E101/12</f>
        <v>0</v>
      </c>
      <c r="E101" s="71">
        <v>0</v>
      </c>
      <c r="F101" s="71">
        <f t="shared" si="79"/>
        <v>0</v>
      </c>
      <c r="G101" s="70">
        <v>1037195</v>
      </c>
      <c r="H101" s="71">
        <f>F101-G101</f>
        <v>-1037195</v>
      </c>
      <c r="I101" s="72">
        <v>0</v>
      </c>
      <c r="J101" s="71">
        <f t="shared" ref="J101:J104" si="80">E101-G101</f>
        <v>-1037195</v>
      </c>
      <c r="K101" s="72">
        <v>0</v>
      </c>
    </row>
    <row r="102" spans="1:11" x14ac:dyDescent="0.25">
      <c r="A102" s="60" t="s">
        <v>274</v>
      </c>
      <c r="B102" s="69" t="s">
        <v>267</v>
      </c>
      <c r="C102" s="53">
        <v>0</v>
      </c>
      <c r="D102" s="55">
        <f>E102/12</f>
        <v>0</v>
      </c>
      <c r="E102" s="55">
        <v>0</v>
      </c>
      <c r="F102" s="71">
        <f t="shared" ref="F102:F104" si="81">(D102*12)</f>
        <v>0</v>
      </c>
      <c r="G102" s="53">
        <v>9315450</v>
      </c>
      <c r="H102" s="55">
        <f>F102-G102</f>
        <v>-9315450</v>
      </c>
      <c r="I102" s="153">
        <v>0</v>
      </c>
      <c r="J102" s="71">
        <f t="shared" si="80"/>
        <v>-9315450</v>
      </c>
      <c r="K102" s="153">
        <v>0</v>
      </c>
    </row>
    <row r="103" spans="1:11" x14ac:dyDescent="0.25">
      <c r="A103" s="60" t="s">
        <v>199</v>
      </c>
      <c r="B103" s="69" t="s">
        <v>272</v>
      </c>
      <c r="C103" s="53">
        <v>0</v>
      </c>
      <c r="D103" s="55">
        <f>E103/12</f>
        <v>0</v>
      </c>
      <c r="E103" s="55">
        <v>0</v>
      </c>
      <c r="F103" s="71">
        <f t="shared" si="81"/>
        <v>0</v>
      </c>
      <c r="G103" s="53">
        <v>19856068</v>
      </c>
      <c r="H103" s="55">
        <f>F103-G103</f>
        <v>-19856068</v>
      </c>
      <c r="I103" s="153">
        <v>0</v>
      </c>
      <c r="J103" s="71">
        <f t="shared" si="80"/>
        <v>-19856068</v>
      </c>
      <c r="K103" s="153">
        <v>0</v>
      </c>
    </row>
    <row r="104" spans="1:11" x14ac:dyDescent="0.25">
      <c r="A104" s="60" t="s">
        <v>198</v>
      </c>
      <c r="B104" s="69" t="s">
        <v>114</v>
      </c>
      <c r="C104" s="53">
        <v>15000</v>
      </c>
      <c r="D104" s="55">
        <f>E104/12</f>
        <v>0</v>
      </c>
      <c r="E104" s="55">
        <v>0</v>
      </c>
      <c r="F104" s="71">
        <f t="shared" si="81"/>
        <v>0</v>
      </c>
      <c r="G104" s="53">
        <v>207065</v>
      </c>
      <c r="H104" s="55">
        <f>F104-G104</f>
        <v>-207065</v>
      </c>
      <c r="I104" s="153">
        <v>0</v>
      </c>
      <c r="J104" s="71">
        <f t="shared" si="80"/>
        <v>-207065</v>
      </c>
      <c r="K104" s="153">
        <v>0</v>
      </c>
    </row>
    <row r="105" spans="1:11" s="65" customFormat="1" x14ac:dyDescent="0.25">
      <c r="A105" s="148" t="s">
        <v>305</v>
      </c>
      <c r="C105" s="150">
        <f>SUM(C100:C104)</f>
        <v>73113</v>
      </c>
      <c r="D105" s="150">
        <f t="shared" ref="D105:G105" si="82">SUM(D100:D104)</f>
        <v>0</v>
      </c>
      <c r="E105" s="150">
        <f t="shared" si="82"/>
        <v>0</v>
      </c>
      <c r="F105" s="150">
        <f t="shared" si="82"/>
        <v>0</v>
      </c>
      <c r="G105" s="150">
        <f t="shared" si="82"/>
        <v>31134878</v>
      </c>
      <c r="H105" s="154">
        <f>+F105-G105</f>
        <v>-31134878</v>
      </c>
      <c r="I105" s="74">
        <v>0</v>
      </c>
      <c r="J105" s="75">
        <f>E105-G105</f>
        <v>-31134878</v>
      </c>
      <c r="K105" s="151">
        <v>0</v>
      </c>
    </row>
    <row r="106" spans="1:11" s="65" customFormat="1" x14ac:dyDescent="0.25">
      <c r="A106" s="148" t="s">
        <v>291</v>
      </c>
      <c r="C106" s="150">
        <f>C99+C105</f>
        <v>2486113</v>
      </c>
      <c r="D106" s="150">
        <f t="shared" ref="D106:G106" si="83">D99+D105</f>
        <v>5336927.5</v>
      </c>
      <c r="E106" s="150">
        <f t="shared" si="83"/>
        <v>64043130</v>
      </c>
      <c r="F106" s="150">
        <f t="shared" si="83"/>
        <v>64043130</v>
      </c>
      <c r="G106" s="150">
        <f t="shared" si="83"/>
        <v>95187878</v>
      </c>
      <c r="H106" s="154">
        <f>+F106-G106</f>
        <v>-31144748</v>
      </c>
      <c r="I106" s="74">
        <f t="shared" ref="I106" si="84">G106/E106</f>
        <v>1.4863089608518509</v>
      </c>
      <c r="J106" s="154">
        <f>E106-G106</f>
        <v>-31144748</v>
      </c>
      <c r="K106" s="151">
        <f>J106/E106</f>
        <v>-0.48630896085185094</v>
      </c>
    </row>
    <row r="107" spans="1:11" s="65" customFormat="1" x14ac:dyDescent="0.25">
      <c r="A107" s="66"/>
      <c r="B107" s="148"/>
      <c r="C107" s="150"/>
      <c r="D107" s="150"/>
      <c r="E107" s="150"/>
      <c r="F107" s="150"/>
      <c r="G107" s="150"/>
      <c r="H107" s="154"/>
      <c r="I107" s="151"/>
      <c r="J107" s="154"/>
      <c r="K107" s="151"/>
    </row>
    <row r="108" spans="1:11" s="64" customFormat="1" x14ac:dyDescent="0.25">
      <c r="A108" s="63"/>
      <c r="B108" s="67" t="s">
        <v>297</v>
      </c>
      <c r="C108" s="150"/>
      <c r="D108" s="154"/>
      <c r="E108" s="154"/>
      <c r="F108" s="154"/>
      <c r="G108" s="150"/>
      <c r="H108" s="154"/>
      <c r="I108" s="151"/>
      <c r="J108" s="154"/>
      <c r="K108" s="151"/>
    </row>
    <row r="109" spans="1:11" s="65" customFormat="1" x14ac:dyDescent="0.25">
      <c r="A109" s="66" t="s">
        <v>235</v>
      </c>
      <c r="B109" s="67" t="s">
        <v>183</v>
      </c>
    </row>
    <row r="110" spans="1:11" x14ac:dyDescent="0.25">
      <c r="B110" s="68" t="s">
        <v>264</v>
      </c>
      <c r="C110" s="50">
        <v>0</v>
      </c>
      <c r="D110" s="71">
        <f>E110/12</f>
        <v>2412177.5</v>
      </c>
      <c r="E110" s="71">
        <v>28946130</v>
      </c>
      <c r="F110" s="71">
        <f>(D110*12)</f>
        <v>28946130</v>
      </c>
      <c r="G110" s="70">
        <v>132921500</v>
      </c>
      <c r="H110" s="71">
        <f>F110-G110</f>
        <v>-103975370</v>
      </c>
      <c r="I110" s="72">
        <v>0</v>
      </c>
      <c r="J110" s="71">
        <f>E110-G110</f>
        <v>-103975370</v>
      </c>
      <c r="K110" s="72">
        <v>0</v>
      </c>
    </row>
    <row r="111" spans="1:11" x14ac:dyDescent="0.25">
      <c r="A111" s="67" t="s">
        <v>306</v>
      </c>
      <c r="C111" s="73">
        <f>SUM(C110:C110)</f>
        <v>0</v>
      </c>
      <c r="D111" s="73">
        <f>SUM(D110:D110)</f>
        <v>2412177.5</v>
      </c>
      <c r="E111" s="73">
        <f>SUM(E110:E110)</f>
        <v>28946130</v>
      </c>
      <c r="F111" s="73">
        <f>SUM(F110:F110)</f>
        <v>28946130</v>
      </c>
      <c r="G111" s="73">
        <f>SUM(G110:G110)</f>
        <v>132921500</v>
      </c>
      <c r="H111" s="75">
        <f>F111-G111</f>
        <v>-103975370</v>
      </c>
      <c r="I111" s="74">
        <f>G111/E111</f>
        <v>4.5920300917601073</v>
      </c>
      <c r="J111" s="75">
        <f>E111-G111</f>
        <v>-103975370</v>
      </c>
      <c r="K111" s="74">
        <f>J111/E111</f>
        <v>-3.5920300917601073</v>
      </c>
    </row>
    <row r="112" spans="1:11" x14ac:dyDescent="0.25">
      <c r="A112" s="67"/>
      <c r="B112" s="67" t="s">
        <v>307</v>
      </c>
      <c r="C112" s="50"/>
      <c r="D112" s="71"/>
      <c r="E112" s="71"/>
      <c r="F112" s="71"/>
      <c r="G112" s="70"/>
      <c r="H112" s="71"/>
      <c r="I112" s="72"/>
      <c r="J112" s="71"/>
      <c r="K112" s="72"/>
    </row>
    <row r="113" spans="1:11" x14ac:dyDescent="0.25">
      <c r="A113" s="60">
        <v>519925</v>
      </c>
      <c r="B113" s="68" t="s">
        <v>228</v>
      </c>
      <c r="C113" s="53">
        <v>0</v>
      </c>
      <c r="D113" s="55">
        <v>0</v>
      </c>
      <c r="E113" s="55">
        <v>0</v>
      </c>
      <c r="F113" s="71">
        <f t="shared" ref="F113:F115" si="85">(D113*12)</f>
        <v>0</v>
      </c>
      <c r="G113" s="53"/>
      <c r="H113" s="55">
        <f t="shared" ref="H113:H115" si="86">F113-G113</f>
        <v>0</v>
      </c>
      <c r="I113" s="153">
        <v>0</v>
      </c>
      <c r="J113" s="55">
        <f t="shared" ref="J113:J114" si="87">E113-G113</f>
        <v>0</v>
      </c>
      <c r="K113" s="153">
        <v>0</v>
      </c>
    </row>
    <row r="114" spans="1:11" x14ac:dyDescent="0.25">
      <c r="A114" s="60">
        <v>519995</v>
      </c>
      <c r="B114" s="68" t="s">
        <v>290</v>
      </c>
      <c r="C114" s="53">
        <v>0</v>
      </c>
      <c r="D114" s="55">
        <v>0</v>
      </c>
      <c r="E114" s="55">
        <v>0</v>
      </c>
      <c r="F114" s="71">
        <f t="shared" si="85"/>
        <v>0</v>
      </c>
      <c r="G114" s="53">
        <v>20455352</v>
      </c>
      <c r="H114" s="55">
        <f t="shared" si="86"/>
        <v>-20455352</v>
      </c>
      <c r="I114" s="153">
        <v>0</v>
      </c>
      <c r="J114" s="55">
        <f t="shared" si="87"/>
        <v>-20455352</v>
      </c>
      <c r="K114" s="153">
        <v>0</v>
      </c>
    </row>
    <row r="115" spans="1:11" x14ac:dyDescent="0.25">
      <c r="A115" s="67" t="s">
        <v>306</v>
      </c>
      <c r="C115" s="150">
        <f>SUM(C113:C114)</f>
        <v>0</v>
      </c>
      <c r="D115" s="150">
        <f t="shared" ref="D115:G115" si="88">SUM(D113:D114)</f>
        <v>0</v>
      </c>
      <c r="E115" s="150">
        <f t="shared" si="88"/>
        <v>0</v>
      </c>
      <c r="F115" s="71">
        <f t="shared" si="85"/>
        <v>0</v>
      </c>
      <c r="G115" s="150">
        <f t="shared" si="88"/>
        <v>20455352</v>
      </c>
      <c r="H115" s="154">
        <f t="shared" si="86"/>
        <v>-20455352</v>
      </c>
      <c r="I115" s="151">
        <v>0</v>
      </c>
      <c r="J115" s="154">
        <f>E115-G115</f>
        <v>-20455352</v>
      </c>
      <c r="K115" s="74">
        <v>0</v>
      </c>
    </row>
    <row r="116" spans="1:11" s="62" customFormat="1" x14ac:dyDescent="0.25">
      <c r="A116" s="67" t="s">
        <v>299</v>
      </c>
      <c r="C116" s="150">
        <f>C111+C115</f>
        <v>0</v>
      </c>
      <c r="D116" s="150">
        <f t="shared" ref="D116:G116" si="89">D111+D115</f>
        <v>2412177.5</v>
      </c>
      <c r="E116" s="150">
        <f t="shared" si="89"/>
        <v>28946130</v>
      </c>
      <c r="F116" s="150">
        <f t="shared" si="89"/>
        <v>28946130</v>
      </c>
      <c r="G116" s="150">
        <f t="shared" si="89"/>
        <v>153376852</v>
      </c>
      <c r="H116" s="75">
        <f>F116-G116</f>
        <v>-124430722</v>
      </c>
      <c r="I116" s="74">
        <f>G116/E116</f>
        <v>5.2986997571005174</v>
      </c>
      <c r="J116" s="154">
        <f>E116-G116</f>
        <v>-124430722</v>
      </c>
      <c r="K116" s="74">
        <f>J116/E116</f>
        <v>-4.2986997571005174</v>
      </c>
    </row>
    <row r="117" spans="1:11" s="62" customFormat="1" x14ac:dyDescent="0.25">
      <c r="A117" s="63"/>
      <c r="B117" s="67"/>
      <c r="C117" s="150"/>
      <c r="D117" s="150"/>
      <c r="E117" s="150"/>
      <c r="F117" s="150"/>
      <c r="G117" s="150"/>
      <c r="H117" s="154"/>
      <c r="I117" s="151"/>
      <c r="J117" s="154"/>
      <c r="K117" s="151"/>
    </row>
    <row r="118" spans="1:11" s="64" customFormat="1" x14ac:dyDescent="0.25">
      <c r="A118" s="67" t="s">
        <v>296</v>
      </c>
      <c r="C118" s="150">
        <f>C106-C116</f>
        <v>2486113</v>
      </c>
      <c r="D118" s="150">
        <f>D106-D116</f>
        <v>2924750</v>
      </c>
      <c r="E118" s="150">
        <f>E106-E116</f>
        <v>35097000</v>
      </c>
      <c r="F118" s="150">
        <f>F106-F116</f>
        <v>35097000</v>
      </c>
      <c r="G118" s="150">
        <f>G106-G116</f>
        <v>-58188974</v>
      </c>
      <c r="H118" s="154">
        <f>F118-G118</f>
        <v>93285974</v>
      </c>
      <c r="I118" s="74">
        <f>G118/E118</f>
        <v>-1.6579472319571473</v>
      </c>
      <c r="J118" s="154">
        <f>E118-G118</f>
        <v>93285974</v>
      </c>
      <c r="K118" s="74">
        <f>J118/E118</f>
        <v>2.6579472319571473</v>
      </c>
    </row>
    <row r="119" spans="1:11" s="64" customFormat="1" x14ac:dyDescent="0.25">
      <c r="A119" s="63"/>
      <c r="B119" s="67"/>
      <c r="C119" s="150"/>
      <c r="D119" s="150"/>
      <c r="E119" s="150"/>
      <c r="F119" s="150"/>
      <c r="G119" s="150"/>
      <c r="H119" s="154"/>
      <c r="I119" s="151"/>
      <c r="J119" s="154"/>
      <c r="K119" s="151"/>
    </row>
    <row r="120" spans="1:11" s="65" customFormat="1" x14ac:dyDescent="0.25">
      <c r="A120" s="67" t="s">
        <v>292</v>
      </c>
      <c r="C120" s="155">
        <f t="shared" ref="C120:G120" si="90">+C94+C118</f>
        <v>918371</v>
      </c>
      <c r="D120" s="155">
        <f t="shared" si="90"/>
        <v>2924750</v>
      </c>
      <c r="E120" s="155">
        <f t="shared" si="90"/>
        <v>35097000</v>
      </c>
      <c r="F120" s="155">
        <f t="shared" si="90"/>
        <v>35097000</v>
      </c>
      <c r="G120" s="155">
        <f t="shared" si="90"/>
        <v>-54160651</v>
      </c>
      <c r="H120" s="155">
        <f>+H94+H118</f>
        <v>89257651</v>
      </c>
      <c r="I120" s="74">
        <f>G120/E120</f>
        <v>-1.5431703849331853</v>
      </c>
      <c r="J120" s="155">
        <f>+J94+J118</f>
        <v>89257651</v>
      </c>
      <c r="K120" s="151">
        <f>J120/E120</f>
        <v>2.5431703849331853</v>
      </c>
    </row>
    <row r="121" spans="1:11" s="65" customFormat="1" x14ac:dyDescent="0.25">
      <c r="A121" s="66"/>
      <c r="B121" s="6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1:11" s="65" customFormat="1" x14ac:dyDescent="0.25">
      <c r="A122" s="66"/>
      <c r="B122" s="67"/>
      <c r="C122" s="155"/>
      <c r="D122" s="155"/>
      <c r="E122" s="155"/>
      <c r="F122" s="155"/>
      <c r="G122" s="155"/>
      <c r="H122" s="157"/>
      <c r="I122" s="157"/>
      <c r="J122" s="157"/>
      <c r="K122" s="157"/>
    </row>
    <row r="123" spans="1:11" s="65" customFormat="1" x14ac:dyDescent="0.25">
      <c r="A123" s="66"/>
      <c r="B123" s="67"/>
      <c r="C123" s="155"/>
      <c r="D123" s="155"/>
      <c r="E123" s="155"/>
      <c r="F123" s="155"/>
      <c r="G123" s="155"/>
      <c r="H123" s="157"/>
      <c r="I123" s="157"/>
      <c r="J123" s="157"/>
      <c r="K123" s="157"/>
    </row>
    <row r="124" spans="1:11" s="65" customFormat="1" x14ac:dyDescent="0.25">
      <c r="A124" s="66"/>
      <c r="B124" s="67"/>
      <c r="C124" s="155"/>
      <c r="D124" s="156"/>
      <c r="E124" s="156"/>
      <c r="F124" s="156"/>
      <c r="G124" s="157"/>
      <c r="H124" s="157"/>
      <c r="I124" s="157"/>
      <c r="J124" s="157"/>
      <c r="K124" s="157"/>
    </row>
    <row r="125" spans="1:11" s="65" customFormat="1" x14ac:dyDescent="0.25">
      <c r="A125" s="66"/>
      <c r="B125" s="67"/>
      <c r="C125" s="155"/>
      <c r="D125" s="156"/>
      <c r="E125" s="156"/>
      <c r="F125" s="156"/>
      <c r="G125" s="157"/>
      <c r="H125" s="157"/>
      <c r="I125" s="157"/>
      <c r="J125" s="157"/>
      <c r="K125" s="157"/>
    </row>
    <row r="126" spans="1:11" s="139" customFormat="1" ht="9" x14ac:dyDescent="0.25">
      <c r="B126" s="145" t="s">
        <v>33</v>
      </c>
      <c r="C126" s="158"/>
      <c r="D126" s="159"/>
      <c r="E126" s="291" t="s">
        <v>143</v>
      </c>
      <c r="F126" s="291"/>
      <c r="G126" s="159"/>
      <c r="H126" s="291" t="s">
        <v>35</v>
      </c>
      <c r="I126" s="291"/>
      <c r="J126" s="291"/>
      <c r="K126" s="166"/>
    </row>
    <row r="127" spans="1:11" s="139" customFormat="1" ht="9" x14ac:dyDescent="0.25">
      <c r="B127" s="145" t="s">
        <v>144</v>
      </c>
      <c r="C127" s="158"/>
      <c r="D127" s="159"/>
      <c r="E127" s="291" t="s">
        <v>36</v>
      </c>
      <c r="F127" s="291"/>
      <c r="G127" s="159"/>
      <c r="H127" s="291" t="s">
        <v>37</v>
      </c>
      <c r="I127" s="291"/>
      <c r="J127" s="291"/>
      <c r="K127" s="166"/>
    </row>
    <row r="128" spans="1:11" s="139" customFormat="1" ht="9" x14ac:dyDescent="0.25">
      <c r="B128" s="145" t="s">
        <v>145</v>
      </c>
      <c r="C128" s="160"/>
      <c r="D128" s="140"/>
      <c r="E128" s="140"/>
      <c r="F128" s="140"/>
      <c r="G128" s="160"/>
      <c r="H128" s="160"/>
      <c r="I128" s="158"/>
      <c r="J128" s="158"/>
      <c r="K128" s="158"/>
    </row>
    <row r="129" spans="3:11" x14ac:dyDescent="0.25">
      <c r="C129" s="161"/>
      <c r="D129" s="54"/>
      <c r="E129" s="54"/>
      <c r="F129" s="54"/>
      <c r="G129" s="54"/>
      <c r="H129" s="54"/>
      <c r="I129" s="54"/>
      <c r="J129" s="54"/>
      <c r="K129" s="54"/>
    </row>
    <row r="130" spans="3:11" x14ac:dyDescent="0.25">
      <c r="C130" s="161"/>
      <c r="D130" s="54"/>
      <c r="E130" s="54"/>
      <c r="F130" s="54"/>
      <c r="G130" s="95"/>
      <c r="H130" s="95"/>
      <c r="I130" s="95"/>
      <c r="J130" s="95"/>
      <c r="K130" s="95"/>
    </row>
    <row r="131" spans="3:11" x14ac:dyDescent="0.25">
      <c r="C131" s="161"/>
      <c r="D131" s="54"/>
      <c r="E131" s="54"/>
      <c r="F131" s="54"/>
      <c r="G131" s="54"/>
      <c r="H131" s="54"/>
      <c r="I131" s="54"/>
      <c r="J131" s="54"/>
      <c r="K131" s="54"/>
    </row>
    <row r="132" spans="3:11" x14ac:dyDescent="0.25">
      <c r="C132" s="161"/>
      <c r="D132" s="54"/>
      <c r="E132" s="54"/>
      <c r="F132" s="54"/>
      <c r="G132" s="54"/>
      <c r="H132" s="54"/>
      <c r="I132" s="54"/>
      <c r="J132" s="54"/>
      <c r="K132" s="54"/>
    </row>
    <row r="133" spans="3:11" x14ac:dyDescent="0.25">
      <c r="C133" s="161"/>
      <c r="D133" s="54"/>
      <c r="E133" s="54"/>
      <c r="F133" s="54"/>
      <c r="G133" s="54"/>
      <c r="H133" s="54"/>
      <c r="I133" s="54"/>
      <c r="J133" s="54"/>
      <c r="K133" s="54"/>
    </row>
    <row r="134" spans="3:11" x14ac:dyDescent="0.25">
      <c r="C134" s="161"/>
      <c r="D134" s="54"/>
      <c r="E134" s="54"/>
      <c r="F134" s="54"/>
      <c r="G134" s="54"/>
      <c r="H134" s="54"/>
      <c r="I134" s="54"/>
      <c r="J134" s="54"/>
      <c r="K134" s="54"/>
    </row>
    <row r="135" spans="3:11" x14ac:dyDescent="0.25">
      <c r="C135" s="161"/>
      <c r="D135" s="54"/>
      <c r="E135" s="54"/>
      <c r="F135" s="54"/>
      <c r="G135" s="54"/>
      <c r="H135" s="54"/>
      <c r="I135" s="54"/>
      <c r="J135" s="54"/>
      <c r="K135" s="54"/>
    </row>
    <row r="136" spans="3:11" x14ac:dyDescent="0.25">
      <c r="C136" s="161"/>
      <c r="D136" s="54"/>
      <c r="E136" s="54"/>
      <c r="F136" s="54"/>
      <c r="G136" s="54"/>
      <c r="H136" s="54"/>
      <c r="I136" s="54"/>
      <c r="J136" s="54"/>
      <c r="K136" s="54"/>
    </row>
    <row r="137" spans="3:11" x14ac:dyDescent="0.25">
      <c r="C137" s="161"/>
      <c r="D137" s="54"/>
      <c r="E137" s="54"/>
      <c r="F137" s="54"/>
      <c r="G137" s="54"/>
      <c r="H137" s="54"/>
      <c r="I137" s="54"/>
      <c r="J137" s="54"/>
      <c r="K137" s="54"/>
    </row>
    <row r="138" spans="3:11" x14ac:dyDescent="0.25">
      <c r="C138" s="161"/>
      <c r="D138" s="54"/>
      <c r="E138" s="54"/>
      <c r="F138" s="54"/>
      <c r="G138" s="54"/>
      <c r="H138" s="54"/>
      <c r="I138" s="54"/>
      <c r="J138" s="54"/>
      <c r="K138" s="54"/>
    </row>
    <row r="139" spans="3:11" x14ac:dyDescent="0.25">
      <c r="C139" s="161"/>
      <c r="D139" s="54"/>
      <c r="E139" s="54"/>
      <c r="F139" s="54"/>
      <c r="G139" s="54"/>
      <c r="H139" s="54"/>
      <c r="I139" s="54"/>
      <c r="J139" s="54"/>
      <c r="K139" s="54"/>
    </row>
    <row r="140" spans="3:11" x14ac:dyDescent="0.25">
      <c r="C140" s="161"/>
      <c r="D140" s="54"/>
      <c r="E140" s="54"/>
      <c r="F140" s="54"/>
      <c r="G140" s="54"/>
      <c r="H140" s="54"/>
      <c r="I140" s="54"/>
      <c r="J140" s="54"/>
      <c r="K140" s="54"/>
    </row>
    <row r="141" spans="3:11" x14ac:dyDescent="0.25">
      <c r="C141" s="161"/>
      <c r="D141" s="54"/>
      <c r="E141" s="54"/>
      <c r="F141" s="54"/>
      <c r="G141" s="54"/>
      <c r="H141" s="54"/>
      <c r="I141" s="54"/>
      <c r="J141" s="54"/>
      <c r="K141" s="54"/>
    </row>
    <row r="142" spans="3:11" x14ac:dyDescent="0.25">
      <c r="C142" s="161"/>
      <c r="D142" s="54"/>
      <c r="E142" s="54"/>
      <c r="F142" s="54"/>
      <c r="G142" s="54"/>
      <c r="H142" s="54"/>
      <c r="I142" s="54"/>
      <c r="J142" s="54"/>
      <c r="K142" s="54"/>
    </row>
    <row r="143" spans="3:11" x14ac:dyDescent="0.25">
      <c r="C143" s="161"/>
      <c r="D143" s="54"/>
      <c r="E143" s="54"/>
      <c r="F143" s="54"/>
      <c r="G143" s="54"/>
      <c r="H143" s="54"/>
      <c r="I143" s="54"/>
      <c r="J143" s="54"/>
      <c r="K143" s="54"/>
    </row>
    <row r="144" spans="3:11" x14ac:dyDescent="0.25">
      <c r="C144" s="161"/>
      <c r="D144" s="54"/>
      <c r="E144" s="54"/>
      <c r="F144" s="54"/>
      <c r="G144" s="54"/>
      <c r="H144" s="54"/>
      <c r="I144" s="54"/>
      <c r="J144" s="54"/>
      <c r="K144" s="54"/>
    </row>
    <row r="148" spans="3:3" x14ac:dyDescent="0.25">
      <c r="C148" s="136"/>
    </row>
  </sheetData>
  <mergeCells count="12">
    <mergeCell ref="E126:F126"/>
    <mergeCell ref="H126:J126"/>
    <mergeCell ref="E127:F127"/>
    <mergeCell ref="H127:J127"/>
    <mergeCell ref="A1:K1"/>
    <mergeCell ref="A2:K2"/>
    <mergeCell ref="A3:K3"/>
    <mergeCell ref="A5:A6"/>
    <mergeCell ref="B5:B6"/>
    <mergeCell ref="C5:C6"/>
    <mergeCell ref="H5:I5"/>
    <mergeCell ref="J5:K5"/>
  </mergeCells>
  <printOptions horizontalCentered="1"/>
  <pageMargins left="0.39370078740157483" right="0.39370078740157483" top="0.78740157480314965" bottom="0.78740157480314965" header="0" footer="0"/>
  <pageSetup scale="90" orientation="portrait" horizontalDpi="4294967292" verticalDpi="300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55" workbookViewId="0">
      <selection activeCell="C97" sqref="C97"/>
    </sheetView>
  </sheetViews>
  <sheetFormatPr baseColWidth="10" defaultColWidth="11.42578125" defaultRowHeight="12" x14ac:dyDescent="0.2"/>
  <cols>
    <col min="1" max="1" width="42.42578125" style="8" customWidth="1"/>
    <col min="2" max="2" width="3.140625" style="8" customWidth="1"/>
    <col min="3" max="3" width="19.42578125" style="12" customWidth="1"/>
    <col min="4" max="4" width="19.42578125" style="8" customWidth="1"/>
    <col min="5" max="5" width="18.5703125" style="92" customWidth="1"/>
    <col min="6" max="6" width="13" style="8" bestFit="1" customWidth="1"/>
    <col min="7" max="7" width="15.140625" style="8" customWidth="1"/>
    <col min="8" max="9" width="11.5703125" style="8" bestFit="1" customWidth="1"/>
    <col min="10" max="10" width="16.85546875" style="92" bestFit="1" customWidth="1"/>
    <col min="11" max="11" width="11.42578125" style="92"/>
    <col min="12" max="16384" width="11.42578125" style="8"/>
  </cols>
  <sheetData>
    <row r="1" spans="1:11" s="1" customFormat="1" ht="12.75" x14ac:dyDescent="0.2">
      <c r="A1" s="297" t="s">
        <v>61</v>
      </c>
      <c r="B1" s="297"/>
      <c r="C1" s="297"/>
      <c r="D1" s="297"/>
      <c r="E1" s="87"/>
      <c r="J1" s="87"/>
      <c r="K1" s="87"/>
    </row>
    <row r="2" spans="1:11" s="1" customFormat="1" ht="12.75" x14ac:dyDescent="0.2">
      <c r="A2" s="297" t="s">
        <v>62</v>
      </c>
      <c r="B2" s="297"/>
      <c r="C2" s="297"/>
      <c r="D2" s="297"/>
      <c r="E2" s="87"/>
      <c r="J2" s="87"/>
      <c r="K2" s="87"/>
    </row>
    <row r="3" spans="1:11" s="1" customFormat="1" ht="12.75" x14ac:dyDescent="0.2">
      <c r="A3" s="297" t="s">
        <v>316</v>
      </c>
      <c r="B3" s="297"/>
      <c r="C3" s="297"/>
      <c r="D3" s="297"/>
      <c r="E3" s="87"/>
      <c r="J3" s="87"/>
      <c r="K3" s="87"/>
    </row>
    <row r="4" spans="1:11" s="1" customFormat="1" ht="12.75" x14ac:dyDescent="0.2">
      <c r="A4" s="297"/>
      <c r="B4" s="297"/>
      <c r="C4" s="297"/>
      <c r="D4" s="297"/>
      <c r="E4" s="87"/>
      <c r="J4" s="87"/>
      <c r="K4" s="87"/>
    </row>
    <row r="5" spans="1:11" s="2" customFormat="1" x14ac:dyDescent="0.2">
      <c r="C5" s="3"/>
      <c r="E5" s="88"/>
      <c r="J5" s="88"/>
      <c r="K5" s="88"/>
    </row>
    <row r="6" spans="1:11" s="81" customFormat="1" x14ac:dyDescent="0.2">
      <c r="A6" s="132" t="s">
        <v>63</v>
      </c>
      <c r="B6" s="132"/>
      <c r="C6" s="133" t="s">
        <v>64</v>
      </c>
      <c r="D6" s="132" t="s">
        <v>65</v>
      </c>
      <c r="E6" s="89"/>
      <c r="J6" s="89"/>
      <c r="K6" s="89"/>
    </row>
    <row r="8" spans="1:11" s="2" customFormat="1" x14ac:dyDescent="0.2">
      <c r="C8" s="4" t="s">
        <v>315</v>
      </c>
      <c r="D8" s="5">
        <v>-1757833</v>
      </c>
      <c r="E8" s="25"/>
      <c r="J8" s="88"/>
      <c r="K8" s="88"/>
    </row>
    <row r="9" spans="1:11" s="6" customFormat="1" x14ac:dyDescent="0.2">
      <c r="C9" s="7"/>
      <c r="E9" s="25"/>
      <c r="F9" s="8"/>
      <c r="G9" s="8"/>
      <c r="H9" s="8"/>
      <c r="J9" s="90"/>
      <c r="K9" s="90"/>
    </row>
    <row r="10" spans="1:11" s="9" customFormat="1" x14ac:dyDescent="0.2">
      <c r="A10" s="9" t="s">
        <v>41</v>
      </c>
      <c r="C10" s="10"/>
      <c r="D10" s="96"/>
      <c r="E10" s="25"/>
      <c r="F10" s="25"/>
      <c r="G10" s="25"/>
      <c r="H10" s="25"/>
      <c r="J10" s="18"/>
      <c r="K10" s="18"/>
    </row>
    <row r="11" spans="1:11" s="6" customFormat="1" x14ac:dyDescent="0.2">
      <c r="A11" s="11" t="s">
        <v>43</v>
      </c>
      <c r="B11" s="11"/>
      <c r="C11" s="12">
        <v>23507860</v>
      </c>
      <c r="D11" s="11"/>
      <c r="E11" s="25"/>
      <c r="F11" s="25"/>
      <c r="G11" s="25"/>
      <c r="H11" s="25"/>
      <c r="J11" s="90"/>
      <c r="K11" s="90"/>
    </row>
    <row r="12" spans="1:11" s="6" customFormat="1" x14ac:dyDescent="0.2">
      <c r="A12" s="11" t="s">
        <v>185</v>
      </c>
      <c r="B12" s="11"/>
      <c r="C12" s="12">
        <v>2100</v>
      </c>
      <c r="D12" s="12"/>
      <c r="E12" s="25"/>
      <c r="F12" s="25"/>
      <c r="G12" s="25"/>
      <c r="J12" s="90"/>
      <c r="K12" s="90"/>
    </row>
    <row r="13" spans="1:11" s="6" customFormat="1" x14ac:dyDescent="0.2">
      <c r="A13" s="11" t="s">
        <v>333</v>
      </c>
      <c r="B13" s="11"/>
      <c r="C13" s="12">
        <f>809000+14440</f>
        <v>823440</v>
      </c>
      <c r="D13" s="12"/>
      <c r="E13" s="25"/>
      <c r="F13" s="25"/>
      <c r="G13" s="25"/>
      <c r="J13" s="90"/>
      <c r="K13" s="90"/>
    </row>
    <row r="14" spans="1:11" s="6" customFormat="1" hidden="1" x14ac:dyDescent="0.2">
      <c r="A14" s="6" t="s">
        <v>322</v>
      </c>
      <c r="C14" s="12"/>
      <c r="E14" s="25"/>
      <c r="F14" s="25"/>
      <c r="G14" s="25"/>
      <c r="J14" s="90"/>
      <c r="K14" s="90"/>
    </row>
    <row r="15" spans="1:11" s="6" customFormat="1" x14ac:dyDescent="0.2">
      <c r="A15" s="11" t="s">
        <v>180</v>
      </c>
      <c r="B15" s="11"/>
      <c r="C15" s="12">
        <v>12000000</v>
      </c>
      <c r="D15" s="135"/>
      <c r="E15" s="25"/>
      <c r="F15" s="25"/>
      <c r="G15" s="25"/>
      <c r="J15" s="90"/>
      <c r="K15" s="90"/>
    </row>
    <row r="16" spans="1:11" s="6" customFormat="1" hidden="1" x14ac:dyDescent="0.2">
      <c r="A16" s="11" t="s">
        <v>303</v>
      </c>
      <c r="B16" s="11"/>
      <c r="C16" s="12"/>
      <c r="E16" s="25"/>
      <c r="F16" s="25"/>
      <c r="G16" s="25"/>
      <c r="J16" s="90"/>
      <c r="K16" s="90"/>
    </row>
    <row r="17" spans="1:20" s="6" customFormat="1" x14ac:dyDescent="0.2">
      <c r="A17" s="11" t="s">
        <v>302</v>
      </c>
      <c r="B17" s="11"/>
      <c r="C17" s="12">
        <v>15000</v>
      </c>
      <c r="D17" s="7"/>
      <c r="E17" s="25"/>
      <c r="F17" s="25"/>
      <c r="G17" s="25"/>
      <c r="J17" s="90"/>
      <c r="K17" s="90"/>
    </row>
    <row r="18" spans="1:20" s="6" customFormat="1" hidden="1" x14ac:dyDescent="0.2">
      <c r="A18" s="11" t="s">
        <v>261</v>
      </c>
      <c r="B18" s="11"/>
      <c r="C18" s="12"/>
      <c r="D18" s="7"/>
      <c r="E18" s="25"/>
      <c r="F18" s="25"/>
      <c r="G18" s="25"/>
      <c r="J18" s="90"/>
      <c r="K18" s="90"/>
    </row>
    <row r="19" spans="1:20" s="9" customFormat="1" x14ac:dyDescent="0.2">
      <c r="B19" s="127" t="s">
        <v>66</v>
      </c>
      <c r="C19" s="128"/>
      <c r="D19" s="124">
        <f>SUM(C11:C18)</f>
        <v>36348400</v>
      </c>
      <c r="E19" s="33"/>
      <c r="F19" s="33"/>
      <c r="G19" s="33"/>
      <c r="J19" s="18"/>
      <c r="K19" s="18"/>
    </row>
    <row r="20" spans="1:20" s="6" customFormat="1" x14ac:dyDescent="0.2">
      <c r="A20" s="11"/>
      <c r="B20" s="11"/>
      <c r="C20" s="12"/>
      <c r="D20" s="11"/>
      <c r="E20" s="25"/>
      <c r="F20" s="14"/>
      <c r="G20" s="14"/>
      <c r="H20" s="14"/>
      <c r="J20" s="90"/>
      <c r="K20" s="90"/>
    </row>
    <row r="21" spans="1:20" s="9" customFormat="1" x14ac:dyDescent="0.2">
      <c r="A21" s="13" t="s">
        <v>67</v>
      </c>
      <c r="B21" s="13"/>
      <c r="C21" s="12"/>
      <c r="D21" s="12"/>
      <c r="E21" s="18"/>
      <c r="F21" s="18"/>
      <c r="J21" s="18"/>
      <c r="K21" s="18"/>
      <c r="T21" s="15"/>
    </row>
    <row r="22" spans="1:20" s="6" customFormat="1" hidden="1" x14ac:dyDescent="0.2">
      <c r="A22" s="11" t="s">
        <v>211</v>
      </c>
      <c r="B22" s="16"/>
      <c r="C22" s="12">
        <v>0</v>
      </c>
      <c r="D22" s="12"/>
      <c r="E22" s="90"/>
      <c r="F22" s="25"/>
      <c r="J22" s="90"/>
      <c r="K22" s="90"/>
      <c r="T22" s="17"/>
    </row>
    <row r="23" spans="1:20" s="6" customFormat="1" hidden="1" x14ac:dyDescent="0.2">
      <c r="A23" s="11" t="s">
        <v>334</v>
      </c>
      <c r="B23" s="16"/>
      <c r="C23" s="12">
        <v>0</v>
      </c>
      <c r="D23" s="12"/>
      <c r="E23" s="90"/>
      <c r="F23" s="25"/>
      <c r="J23" s="90"/>
      <c r="K23" s="90"/>
      <c r="T23" s="17"/>
    </row>
    <row r="24" spans="1:20" s="6" customFormat="1" hidden="1" x14ac:dyDescent="0.2">
      <c r="A24" s="11" t="s">
        <v>335</v>
      </c>
      <c r="B24" s="16"/>
      <c r="C24" s="12">
        <v>0</v>
      </c>
      <c r="D24" s="12"/>
      <c r="E24" s="90"/>
      <c r="F24" s="25"/>
      <c r="J24" s="90"/>
      <c r="K24" s="90"/>
      <c r="T24" s="17"/>
    </row>
    <row r="25" spans="1:20" s="6" customFormat="1" hidden="1" x14ac:dyDescent="0.2">
      <c r="A25" s="11" t="s">
        <v>336</v>
      </c>
      <c r="B25" s="11"/>
      <c r="C25" s="12">
        <v>0</v>
      </c>
      <c r="D25" s="12"/>
      <c r="E25" s="90"/>
      <c r="F25" s="25"/>
      <c r="J25" s="90"/>
      <c r="K25" s="90"/>
      <c r="T25" s="17"/>
    </row>
    <row r="26" spans="1:20" s="6" customFormat="1" hidden="1" x14ac:dyDescent="0.2">
      <c r="A26" s="11" t="s">
        <v>69</v>
      </c>
      <c r="B26" s="11"/>
      <c r="C26" s="12">
        <v>0</v>
      </c>
      <c r="D26" s="12"/>
      <c r="E26" s="90"/>
      <c r="F26" s="25"/>
      <c r="J26" s="90"/>
      <c r="K26" s="90"/>
      <c r="T26" s="17"/>
    </row>
    <row r="27" spans="1:20" s="6" customFormat="1" x14ac:dyDescent="0.2">
      <c r="A27" s="16" t="s">
        <v>73</v>
      </c>
      <c r="B27" s="16"/>
      <c r="C27" s="12">
        <v>1926000</v>
      </c>
      <c r="D27" s="12"/>
      <c r="E27" s="90"/>
      <c r="F27" s="25"/>
      <c r="J27" s="90"/>
      <c r="K27" s="90"/>
      <c r="T27" s="17"/>
    </row>
    <row r="28" spans="1:20" s="6" customFormat="1" x14ac:dyDescent="0.2">
      <c r="A28" s="11" t="s">
        <v>337</v>
      </c>
      <c r="B28" s="11"/>
      <c r="C28" s="12">
        <f>367000+367000</f>
        <v>734000</v>
      </c>
      <c r="D28" s="12"/>
      <c r="E28" s="90"/>
      <c r="F28" s="25"/>
      <c r="J28" s="90"/>
      <c r="K28" s="90"/>
      <c r="T28" s="17"/>
    </row>
    <row r="29" spans="1:20" s="6" customFormat="1" hidden="1" x14ac:dyDescent="0.2">
      <c r="A29" s="11" t="s">
        <v>338</v>
      </c>
      <c r="B29" s="11"/>
      <c r="C29" s="6">
        <v>0</v>
      </c>
      <c r="D29" s="12"/>
      <c r="E29" s="90"/>
      <c r="F29" s="25"/>
      <c r="J29" s="90"/>
      <c r="K29" s="90"/>
      <c r="T29" s="17"/>
    </row>
    <row r="30" spans="1:20" s="6" customFormat="1" x14ac:dyDescent="0.2">
      <c r="A30" s="11" t="s">
        <v>70</v>
      </c>
      <c r="B30" s="11"/>
      <c r="C30" s="12">
        <v>681000</v>
      </c>
      <c r="D30" s="12"/>
      <c r="E30" s="90"/>
      <c r="F30" s="25"/>
      <c r="J30" s="90"/>
      <c r="K30" s="90"/>
      <c r="T30" s="17"/>
    </row>
    <row r="31" spans="1:20" s="6" customFormat="1" hidden="1" x14ac:dyDescent="0.2">
      <c r="A31" s="11" t="s">
        <v>71</v>
      </c>
      <c r="B31" s="11"/>
      <c r="C31" s="12">
        <v>0</v>
      </c>
      <c r="D31" s="12"/>
      <c r="E31" s="90"/>
      <c r="F31" s="25"/>
      <c r="J31" s="90"/>
      <c r="K31" s="90"/>
      <c r="T31" s="17"/>
    </row>
    <row r="32" spans="1:20" s="6" customFormat="1" hidden="1" x14ac:dyDescent="0.2">
      <c r="A32" s="11" t="s">
        <v>339</v>
      </c>
      <c r="B32" s="11"/>
      <c r="C32" s="12">
        <v>0</v>
      </c>
      <c r="D32" s="12"/>
      <c r="E32" s="90"/>
      <c r="F32" s="25"/>
      <c r="J32" s="90"/>
      <c r="K32" s="90"/>
      <c r="T32" s="17"/>
    </row>
    <row r="33" spans="1:20" s="6" customFormat="1" x14ac:dyDescent="0.2">
      <c r="A33" s="11" t="s">
        <v>72</v>
      </c>
      <c r="B33" s="11"/>
      <c r="C33" s="12">
        <v>15553480</v>
      </c>
      <c r="D33" s="12"/>
      <c r="E33" s="90"/>
      <c r="F33" s="25"/>
      <c r="J33" s="90"/>
      <c r="K33" s="90"/>
      <c r="T33" s="17"/>
    </row>
    <row r="34" spans="1:20" s="6" customFormat="1" x14ac:dyDescent="0.2">
      <c r="A34" s="16" t="s">
        <v>74</v>
      </c>
      <c r="B34" s="16"/>
      <c r="C34" s="12">
        <f>2866177+30000+100500</f>
        <v>2996677</v>
      </c>
      <c r="D34" s="12"/>
      <c r="E34" s="90"/>
      <c r="F34" s="18"/>
      <c r="G34" s="18"/>
      <c r="H34" s="18"/>
      <c r="I34" s="18"/>
      <c r="J34" s="90"/>
      <c r="K34" s="90"/>
      <c r="T34" s="17"/>
    </row>
    <row r="35" spans="1:20" x14ac:dyDescent="0.2">
      <c r="A35" s="16" t="s">
        <v>75</v>
      </c>
      <c r="B35" s="16"/>
      <c r="C35" s="12">
        <f>340498</f>
        <v>340498</v>
      </c>
      <c r="D35" s="12"/>
      <c r="E35" s="90"/>
      <c r="F35" s="25"/>
      <c r="G35" s="6"/>
      <c r="H35" s="6"/>
      <c r="I35" s="6"/>
      <c r="J35" s="90"/>
      <c r="K35" s="90"/>
      <c r="L35" s="6"/>
      <c r="M35" s="6"/>
      <c r="N35" s="6"/>
      <c r="T35" s="17"/>
    </row>
    <row r="36" spans="1:20" x14ac:dyDescent="0.2">
      <c r="A36" s="16" t="s">
        <v>76</v>
      </c>
      <c r="B36" s="16"/>
      <c r="C36" s="12">
        <v>5539813</v>
      </c>
      <c r="D36" s="12"/>
      <c r="E36" s="90"/>
      <c r="F36" s="25"/>
      <c r="G36" s="6"/>
      <c r="H36" s="6"/>
      <c r="I36" s="6"/>
      <c r="J36" s="90"/>
      <c r="K36" s="90"/>
      <c r="L36" s="6"/>
      <c r="M36" s="6"/>
      <c r="N36" s="6"/>
      <c r="T36" s="17"/>
    </row>
    <row r="37" spans="1:20" hidden="1" x14ac:dyDescent="0.2">
      <c r="A37" s="16" t="s">
        <v>340</v>
      </c>
      <c r="B37" s="16"/>
      <c r="C37" s="12">
        <v>0</v>
      </c>
      <c r="D37" s="12"/>
      <c r="E37" s="90"/>
      <c r="F37" s="25"/>
      <c r="G37" s="6"/>
      <c r="H37" s="6"/>
      <c r="I37" s="6"/>
      <c r="J37" s="90"/>
      <c r="K37" s="90"/>
      <c r="L37" s="6"/>
      <c r="M37" s="6"/>
      <c r="N37" s="6"/>
      <c r="T37" s="17"/>
    </row>
    <row r="38" spans="1:20" x14ac:dyDescent="0.2">
      <c r="A38" s="16" t="s">
        <v>77</v>
      </c>
      <c r="B38" s="16"/>
      <c r="C38" s="12">
        <f>2271269+46803</f>
        <v>2318072</v>
      </c>
      <c r="D38" s="12"/>
      <c r="E38" s="90"/>
      <c r="F38" s="25"/>
      <c r="G38" s="6"/>
      <c r="H38" s="6"/>
      <c r="I38" s="6"/>
      <c r="J38" s="90"/>
      <c r="K38" s="90"/>
      <c r="L38" s="6"/>
      <c r="M38" s="6"/>
      <c r="N38" s="6"/>
      <c r="T38" s="17"/>
    </row>
    <row r="39" spans="1:20" x14ac:dyDescent="0.2">
      <c r="A39" s="16" t="s">
        <v>78</v>
      </c>
      <c r="B39" s="16"/>
      <c r="C39" s="12">
        <v>127300</v>
      </c>
      <c r="D39" s="12"/>
      <c r="E39" s="90"/>
      <c r="F39" s="25"/>
      <c r="G39" s="6"/>
      <c r="H39" s="6"/>
      <c r="I39" s="6"/>
      <c r="J39" s="90"/>
      <c r="K39" s="90"/>
      <c r="L39" s="6"/>
      <c r="M39" s="6"/>
      <c r="N39" s="6"/>
      <c r="T39" s="17"/>
    </row>
    <row r="40" spans="1:20" hidden="1" x14ac:dyDescent="0.2">
      <c r="A40" s="16" t="s">
        <v>79</v>
      </c>
      <c r="B40" s="16"/>
      <c r="C40" s="12">
        <v>0</v>
      </c>
      <c r="D40" s="12"/>
      <c r="E40" s="90"/>
      <c r="F40" s="25"/>
      <c r="G40" s="6"/>
      <c r="H40" s="6"/>
      <c r="I40" s="6"/>
      <c r="J40" s="90"/>
      <c r="K40" s="90"/>
      <c r="L40" s="6"/>
      <c r="M40" s="6"/>
      <c r="N40" s="6"/>
      <c r="T40" s="17"/>
    </row>
    <row r="41" spans="1:20" hidden="1" x14ac:dyDescent="0.2">
      <c r="A41" s="16" t="s">
        <v>80</v>
      </c>
      <c r="B41" s="16"/>
      <c r="C41" s="12">
        <v>0</v>
      </c>
      <c r="D41" s="12"/>
      <c r="E41" s="90"/>
      <c r="F41" s="25"/>
      <c r="G41" s="6"/>
      <c r="H41" s="6"/>
      <c r="I41" s="6"/>
      <c r="J41" s="90"/>
      <c r="K41" s="90"/>
      <c r="L41" s="6"/>
      <c r="M41" s="6"/>
      <c r="N41" s="6"/>
      <c r="T41" s="17"/>
    </row>
    <row r="42" spans="1:20" x14ac:dyDescent="0.2">
      <c r="A42" s="16" t="s">
        <v>81</v>
      </c>
      <c r="B42" s="16"/>
      <c r="C42" s="12">
        <v>212090</v>
      </c>
      <c r="D42" s="12"/>
      <c r="E42" s="90"/>
      <c r="F42" s="25"/>
      <c r="G42" s="6"/>
      <c r="H42" s="6"/>
      <c r="I42" s="6"/>
      <c r="J42" s="90"/>
      <c r="K42" s="90"/>
      <c r="L42" s="6"/>
      <c r="M42" s="6"/>
      <c r="N42" s="6"/>
      <c r="T42" s="17"/>
    </row>
    <row r="43" spans="1:20" hidden="1" x14ac:dyDescent="0.2">
      <c r="A43" s="16" t="s">
        <v>82</v>
      </c>
      <c r="B43" s="16"/>
      <c r="C43" s="12">
        <v>0</v>
      </c>
      <c r="D43" s="12"/>
      <c r="E43" s="90"/>
      <c r="F43" s="25"/>
      <c r="G43" s="6"/>
      <c r="H43" s="6"/>
      <c r="I43" s="6"/>
      <c r="J43" s="90"/>
      <c r="K43" s="90"/>
      <c r="L43" s="6"/>
      <c r="M43" s="6"/>
      <c r="N43" s="6"/>
      <c r="T43" s="17"/>
    </row>
    <row r="44" spans="1:20" hidden="1" x14ac:dyDescent="0.2">
      <c r="A44" s="16" t="s">
        <v>83</v>
      </c>
      <c r="B44" s="16"/>
      <c r="C44" s="12">
        <v>0</v>
      </c>
      <c r="D44" s="12"/>
      <c r="E44" s="90"/>
      <c r="F44" s="25"/>
      <c r="G44" s="6"/>
      <c r="H44" s="6"/>
      <c r="I44" s="6"/>
      <c r="J44" s="90"/>
      <c r="K44" s="90"/>
      <c r="L44" s="6"/>
      <c r="M44" s="6"/>
      <c r="N44" s="6"/>
      <c r="T44" s="17"/>
    </row>
    <row r="45" spans="1:20" x14ac:dyDescent="0.2">
      <c r="A45" s="16" t="s">
        <v>84</v>
      </c>
      <c r="B45" s="16"/>
      <c r="C45" s="12">
        <v>46400</v>
      </c>
      <c r="D45" s="12"/>
      <c r="E45" s="90"/>
      <c r="F45" s="25"/>
      <c r="G45" s="6"/>
      <c r="H45" s="6"/>
      <c r="I45" s="6"/>
      <c r="J45" s="90"/>
      <c r="K45" s="90"/>
      <c r="L45" s="6"/>
      <c r="M45" s="6"/>
      <c r="N45" s="6"/>
      <c r="T45" s="17"/>
    </row>
    <row r="46" spans="1:20" hidden="1" x14ac:dyDescent="0.2">
      <c r="A46" s="16" t="s">
        <v>85</v>
      </c>
      <c r="B46" s="16"/>
      <c r="C46" s="12">
        <v>0</v>
      </c>
      <c r="D46" s="12"/>
      <c r="E46" s="90"/>
      <c r="F46" s="25"/>
      <c r="G46" s="6"/>
      <c r="H46" s="6"/>
      <c r="I46" s="6"/>
      <c r="J46" s="90"/>
      <c r="K46" s="90"/>
      <c r="L46" s="6"/>
      <c r="M46" s="6"/>
      <c r="N46" s="6"/>
      <c r="T46" s="17"/>
    </row>
    <row r="47" spans="1:20" x14ac:dyDescent="0.2">
      <c r="A47" s="16" t="s">
        <v>86</v>
      </c>
      <c r="B47" s="16"/>
      <c r="C47" s="12">
        <f>515476</f>
        <v>515476</v>
      </c>
      <c r="D47" s="6"/>
      <c r="E47" s="90"/>
      <c r="F47" s="25"/>
      <c r="G47" s="6"/>
      <c r="H47" s="6"/>
      <c r="I47" s="6"/>
      <c r="J47" s="90"/>
      <c r="K47" s="90"/>
      <c r="L47" s="6"/>
      <c r="M47" s="6"/>
      <c r="N47" s="6"/>
      <c r="T47" s="17"/>
    </row>
    <row r="48" spans="1:20" x14ac:dyDescent="0.2">
      <c r="A48" s="16" t="s">
        <v>87</v>
      </c>
      <c r="B48" s="16"/>
      <c r="C48" s="12">
        <v>1193851</v>
      </c>
      <c r="D48" s="6"/>
      <c r="E48" s="90"/>
      <c r="F48" s="25"/>
      <c r="G48" s="6"/>
      <c r="H48" s="6"/>
      <c r="I48" s="6"/>
      <c r="J48" s="90"/>
      <c r="K48" s="90"/>
      <c r="L48" s="6"/>
      <c r="M48" s="6"/>
      <c r="N48" s="6"/>
      <c r="T48" s="17"/>
    </row>
    <row r="49" spans="1:20" hidden="1" x14ac:dyDescent="0.2">
      <c r="A49" s="16" t="s">
        <v>88</v>
      </c>
      <c r="B49" s="16"/>
      <c r="C49" s="12">
        <v>0</v>
      </c>
      <c r="D49" s="6"/>
      <c r="E49" s="90"/>
      <c r="F49" s="25"/>
      <c r="G49" s="6"/>
      <c r="H49" s="6"/>
      <c r="I49" s="6"/>
      <c r="J49" s="90"/>
      <c r="K49" s="90"/>
      <c r="L49" s="6"/>
      <c r="M49" s="6"/>
      <c r="N49" s="6"/>
      <c r="T49" s="17"/>
    </row>
    <row r="50" spans="1:20" x14ac:dyDescent="0.2">
      <c r="A50" s="16" t="s">
        <v>89</v>
      </c>
      <c r="B50" s="16"/>
      <c r="C50" s="12">
        <v>272047</v>
      </c>
      <c r="D50" s="6"/>
      <c r="E50" s="90"/>
      <c r="F50" s="25"/>
      <c r="G50" s="6"/>
      <c r="H50" s="6"/>
      <c r="I50" s="6"/>
      <c r="J50" s="90"/>
      <c r="K50" s="90"/>
      <c r="L50" s="6"/>
      <c r="M50" s="6"/>
      <c r="N50" s="6"/>
      <c r="T50" s="17"/>
    </row>
    <row r="51" spans="1:20" hidden="1" x14ac:dyDescent="0.2">
      <c r="A51" s="16" t="s">
        <v>90</v>
      </c>
      <c r="B51" s="16"/>
      <c r="C51" s="12">
        <v>0</v>
      </c>
      <c r="D51" s="6"/>
      <c r="E51" s="90"/>
      <c r="F51" s="25"/>
      <c r="G51" s="6"/>
      <c r="H51" s="6"/>
      <c r="I51" s="6"/>
      <c r="J51" s="90"/>
      <c r="K51" s="90"/>
      <c r="L51" s="6"/>
      <c r="M51" s="6"/>
      <c r="N51" s="6"/>
      <c r="T51" s="17"/>
    </row>
    <row r="52" spans="1:20" s="6" customFormat="1" hidden="1" x14ac:dyDescent="0.2">
      <c r="A52" s="16" t="s">
        <v>91</v>
      </c>
      <c r="B52" s="16"/>
      <c r="C52" s="12">
        <v>0</v>
      </c>
      <c r="E52" s="90"/>
      <c r="F52" s="25"/>
      <c r="J52" s="90"/>
      <c r="K52" s="90"/>
      <c r="T52" s="17"/>
    </row>
    <row r="53" spans="1:20" s="6" customFormat="1" hidden="1" x14ac:dyDescent="0.2">
      <c r="A53" s="16" t="s">
        <v>92</v>
      </c>
      <c r="B53" s="16"/>
      <c r="C53" s="12">
        <v>0</v>
      </c>
      <c r="E53" s="90"/>
      <c r="F53" s="25"/>
      <c r="J53" s="90"/>
      <c r="K53" s="90"/>
      <c r="T53" s="17"/>
    </row>
    <row r="54" spans="1:20" s="6" customFormat="1" hidden="1" x14ac:dyDescent="0.2">
      <c r="A54" s="16" t="s">
        <v>93</v>
      </c>
      <c r="B54" s="16"/>
      <c r="C54" s="12">
        <v>0</v>
      </c>
      <c r="D54" s="135"/>
      <c r="E54" s="90"/>
      <c r="F54" s="25"/>
      <c r="J54" s="90"/>
      <c r="K54" s="90"/>
      <c r="T54" s="17"/>
    </row>
    <row r="55" spans="1:20" s="6" customFormat="1" x14ac:dyDescent="0.2">
      <c r="A55" s="16" t="s">
        <v>94</v>
      </c>
      <c r="B55" s="16"/>
      <c r="C55" s="12">
        <v>154586</v>
      </c>
      <c r="E55" s="90"/>
      <c r="F55" s="25"/>
      <c r="J55" s="90"/>
      <c r="K55" s="90"/>
      <c r="T55" s="17"/>
    </row>
    <row r="56" spans="1:20" s="6" customFormat="1" hidden="1" x14ac:dyDescent="0.2">
      <c r="A56" s="16" t="s">
        <v>269</v>
      </c>
      <c r="B56" s="16"/>
      <c r="C56" s="12">
        <v>0</v>
      </c>
      <c r="E56" s="90"/>
      <c r="F56" s="25"/>
      <c r="J56" s="90"/>
      <c r="K56" s="90"/>
      <c r="T56" s="17"/>
    </row>
    <row r="57" spans="1:20" s="6" customFormat="1" hidden="1" x14ac:dyDescent="0.2">
      <c r="A57" s="16" t="s">
        <v>270</v>
      </c>
      <c r="B57" s="16"/>
      <c r="C57" s="12">
        <v>0</v>
      </c>
      <c r="E57" s="90"/>
      <c r="F57" s="25"/>
      <c r="J57" s="90"/>
      <c r="K57" s="90"/>
      <c r="T57" s="17"/>
    </row>
    <row r="58" spans="1:20" s="6" customFormat="1" hidden="1" x14ac:dyDescent="0.2">
      <c r="A58" s="16" t="s">
        <v>172</v>
      </c>
      <c r="B58" s="16"/>
      <c r="C58" s="12">
        <v>0</v>
      </c>
      <c r="E58" s="90"/>
      <c r="F58" s="25"/>
      <c r="J58" s="90"/>
      <c r="K58" s="90"/>
      <c r="T58" s="17"/>
    </row>
    <row r="59" spans="1:20" hidden="1" x14ac:dyDescent="0.2">
      <c r="A59" s="16" t="s">
        <v>167</v>
      </c>
      <c r="B59" s="16"/>
      <c r="C59" s="12">
        <v>0</v>
      </c>
      <c r="D59" s="6"/>
      <c r="E59" s="90"/>
      <c r="F59" s="25"/>
      <c r="G59" s="6"/>
      <c r="H59" s="6"/>
      <c r="I59" s="6"/>
      <c r="J59" s="90"/>
      <c r="K59" s="90"/>
      <c r="L59" s="6"/>
      <c r="M59" s="6"/>
      <c r="N59" s="6"/>
      <c r="T59" s="17"/>
    </row>
    <row r="60" spans="1:20" s="6" customFormat="1" hidden="1" x14ac:dyDescent="0.2">
      <c r="A60" s="16" t="s">
        <v>192</v>
      </c>
      <c r="B60" s="16"/>
      <c r="C60" s="12">
        <v>0</v>
      </c>
      <c r="E60" s="90"/>
      <c r="F60" s="25"/>
      <c r="J60" s="90"/>
      <c r="K60" s="90"/>
      <c r="T60" s="17"/>
    </row>
    <row r="61" spans="1:20" x14ac:dyDescent="0.2">
      <c r="A61" s="16" t="s">
        <v>97</v>
      </c>
      <c r="B61" s="16"/>
      <c r="C61" s="12">
        <f>353020+476766+5500+59100+63300+21500+18000+28200+47000+13300+147000+33200+67800+1121038+199100+10000+60000+21500+120200</f>
        <v>2865524</v>
      </c>
      <c r="D61" s="6"/>
      <c r="E61" s="90"/>
      <c r="F61" s="25"/>
      <c r="G61" s="6"/>
      <c r="H61" s="6"/>
      <c r="I61" s="6"/>
      <c r="J61" s="90"/>
      <c r="K61" s="90"/>
      <c r="L61" s="6"/>
      <c r="M61" s="6"/>
      <c r="N61" s="6"/>
      <c r="T61" s="17"/>
    </row>
    <row r="62" spans="1:20" x14ac:dyDescent="0.2">
      <c r="A62" s="16" t="s">
        <v>328</v>
      </c>
      <c r="B62" s="16"/>
      <c r="C62" s="12">
        <v>1049770</v>
      </c>
      <c r="D62" s="6"/>
      <c r="E62" s="90"/>
      <c r="F62" s="25"/>
      <c r="G62" s="6"/>
      <c r="H62" s="6"/>
      <c r="I62" s="6"/>
      <c r="J62" s="90"/>
      <c r="K62" s="90"/>
      <c r="L62" s="6"/>
      <c r="M62" s="6"/>
      <c r="N62" s="6"/>
      <c r="T62" s="17"/>
    </row>
    <row r="63" spans="1:20" x14ac:dyDescent="0.2">
      <c r="A63" s="16" t="s">
        <v>171</v>
      </c>
      <c r="B63" s="16"/>
      <c r="C63" s="12">
        <v>0</v>
      </c>
      <c r="D63" s="6"/>
      <c r="E63" s="90"/>
      <c r="F63" s="25"/>
      <c r="G63" s="6"/>
      <c r="H63" s="6"/>
      <c r="I63" s="6"/>
      <c r="J63" s="90"/>
      <c r="K63" s="90"/>
      <c r="L63" s="6"/>
      <c r="M63" s="6"/>
      <c r="N63" s="6"/>
      <c r="T63" s="17"/>
    </row>
    <row r="64" spans="1:20" x14ac:dyDescent="0.2">
      <c r="A64" s="16" t="s">
        <v>95</v>
      </c>
      <c r="B64" s="16"/>
      <c r="C64" s="12">
        <f>15800+596017+23293+79000</f>
        <v>714110</v>
      </c>
      <c r="D64" s="11"/>
      <c r="E64" s="90"/>
      <c r="F64" s="25"/>
      <c r="G64" s="6"/>
      <c r="H64" s="6"/>
      <c r="I64" s="6"/>
      <c r="J64" s="90"/>
      <c r="K64" s="90"/>
      <c r="L64" s="6"/>
      <c r="M64" s="6"/>
      <c r="N64" s="6"/>
      <c r="T64" s="17"/>
    </row>
    <row r="65" spans="1:20" x14ac:dyDescent="0.2">
      <c r="A65" s="16" t="s">
        <v>96</v>
      </c>
      <c r="B65" s="16"/>
      <c r="C65" s="12">
        <f>79000+80000+108000+79000</f>
        <v>346000</v>
      </c>
      <c r="D65" s="6"/>
      <c r="E65" s="90"/>
      <c r="F65" s="25"/>
      <c r="G65" s="6"/>
      <c r="H65" s="6"/>
      <c r="I65" s="6"/>
      <c r="J65" s="90"/>
      <c r="K65" s="90"/>
      <c r="L65" s="6"/>
      <c r="M65" s="6"/>
      <c r="N65" s="6"/>
      <c r="T65" s="17"/>
    </row>
    <row r="66" spans="1:20" hidden="1" x14ac:dyDescent="0.2">
      <c r="A66" s="16" t="s">
        <v>98</v>
      </c>
      <c r="B66" s="16"/>
      <c r="C66" s="12">
        <v>0</v>
      </c>
      <c r="E66" s="91"/>
      <c r="F66" s="25"/>
      <c r="G66" s="6"/>
      <c r="H66" s="6"/>
      <c r="I66" s="6"/>
      <c r="J66" s="90"/>
      <c r="K66" s="90"/>
      <c r="L66" s="6"/>
      <c r="M66" s="6"/>
      <c r="N66" s="6"/>
      <c r="T66" s="17"/>
    </row>
    <row r="67" spans="1:20" hidden="1" x14ac:dyDescent="0.2">
      <c r="A67" s="16" t="s">
        <v>329</v>
      </c>
      <c r="B67" s="16"/>
      <c r="C67" s="12">
        <v>0</v>
      </c>
      <c r="D67" s="6"/>
      <c r="E67" s="90"/>
      <c r="F67" s="25"/>
      <c r="G67" s="6"/>
      <c r="H67" s="6"/>
      <c r="I67" s="6"/>
      <c r="J67" s="90"/>
      <c r="K67" s="90"/>
      <c r="L67" s="6"/>
      <c r="M67" s="6"/>
      <c r="N67" s="6"/>
      <c r="T67" s="17"/>
    </row>
    <row r="68" spans="1:20" hidden="1" x14ac:dyDescent="0.2">
      <c r="A68" s="16" t="s">
        <v>177</v>
      </c>
      <c r="B68" s="16"/>
      <c r="C68" s="12">
        <v>0</v>
      </c>
      <c r="D68" s="6"/>
      <c r="E68" s="90"/>
      <c r="F68" s="6"/>
      <c r="G68" s="6"/>
      <c r="H68" s="6"/>
      <c r="I68" s="6"/>
      <c r="J68" s="90"/>
      <c r="K68" s="90"/>
      <c r="L68" s="6"/>
      <c r="M68" s="6"/>
      <c r="N68" s="6"/>
      <c r="T68" s="17"/>
    </row>
    <row r="69" spans="1:20" hidden="1" x14ac:dyDescent="0.2">
      <c r="A69" s="16" t="s">
        <v>100</v>
      </c>
      <c r="B69" s="16"/>
      <c r="C69" s="12">
        <v>0</v>
      </c>
      <c r="D69" s="6"/>
      <c r="E69" s="90"/>
      <c r="F69" s="6"/>
      <c r="G69" s="6"/>
      <c r="H69" s="6"/>
      <c r="I69" s="6"/>
      <c r="J69" s="90"/>
      <c r="K69" s="90"/>
      <c r="L69" s="6"/>
      <c r="M69" s="6"/>
      <c r="N69" s="6"/>
      <c r="T69" s="17"/>
    </row>
    <row r="70" spans="1:20" hidden="1" x14ac:dyDescent="0.2">
      <c r="A70" s="16" t="s">
        <v>101</v>
      </c>
      <c r="B70" s="16"/>
      <c r="C70" s="12">
        <v>0</v>
      </c>
      <c r="D70" s="6"/>
      <c r="E70" s="90"/>
      <c r="F70" s="6"/>
      <c r="G70" s="6"/>
      <c r="H70" s="6"/>
      <c r="I70" s="6"/>
      <c r="J70" s="90"/>
      <c r="K70" s="90"/>
      <c r="L70" s="6"/>
      <c r="M70" s="6"/>
      <c r="N70" s="6"/>
      <c r="T70" s="17"/>
    </row>
    <row r="71" spans="1:20" hidden="1" x14ac:dyDescent="0.2">
      <c r="A71" s="16" t="s">
        <v>102</v>
      </c>
      <c r="B71" s="16"/>
      <c r="C71" s="12">
        <v>0</v>
      </c>
      <c r="D71" s="6"/>
      <c r="E71" s="90"/>
      <c r="F71" s="6"/>
      <c r="G71" s="6"/>
      <c r="H71" s="6"/>
      <c r="I71" s="6"/>
      <c r="J71" s="90"/>
      <c r="K71" s="90"/>
      <c r="L71" s="6"/>
      <c r="M71" s="6"/>
      <c r="N71" s="6"/>
      <c r="T71" s="17"/>
    </row>
    <row r="72" spans="1:20" hidden="1" x14ac:dyDescent="0.2">
      <c r="A72" s="16" t="s">
        <v>99</v>
      </c>
      <c r="B72" s="16"/>
      <c r="C72" s="12">
        <v>0</v>
      </c>
      <c r="D72" s="6"/>
      <c r="E72" s="90"/>
      <c r="F72" s="6"/>
      <c r="G72" s="6"/>
      <c r="H72" s="6"/>
      <c r="I72" s="6"/>
      <c r="J72" s="90"/>
      <c r="K72" s="90"/>
      <c r="L72" s="6"/>
      <c r="M72" s="6"/>
      <c r="N72" s="6"/>
      <c r="T72" s="17"/>
    </row>
    <row r="73" spans="1:20" hidden="1" x14ac:dyDescent="0.2">
      <c r="A73" s="16" t="s">
        <v>330</v>
      </c>
      <c r="B73" s="16"/>
      <c r="C73" s="12">
        <v>0</v>
      </c>
      <c r="D73" s="6"/>
      <c r="E73" s="90"/>
      <c r="F73" s="6"/>
      <c r="G73" s="6"/>
      <c r="H73" s="6"/>
      <c r="I73" s="6"/>
      <c r="J73" s="90"/>
      <c r="K73" s="90"/>
      <c r="L73" s="6"/>
      <c r="M73" s="6"/>
      <c r="N73" s="6"/>
      <c r="T73" s="17"/>
    </row>
    <row r="74" spans="1:20" x14ac:dyDescent="0.2">
      <c r="A74" s="16" t="s">
        <v>103</v>
      </c>
      <c r="B74" s="16"/>
      <c r="C74" s="12">
        <v>45400</v>
      </c>
      <c r="D74" s="6"/>
      <c r="E74" s="90"/>
      <c r="F74" s="6"/>
      <c r="G74" s="6"/>
      <c r="H74" s="6"/>
      <c r="I74" s="6"/>
      <c r="J74" s="90"/>
      <c r="K74" s="90"/>
      <c r="L74" s="6"/>
      <c r="M74" s="6"/>
      <c r="N74" s="6"/>
      <c r="T74" s="17"/>
    </row>
    <row r="75" spans="1:20" x14ac:dyDescent="0.2">
      <c r="A75" s="16" t="s">
        <v>331</v>
      </c>
      <c r="B75" s="16"/>
      <c r="C75" s="12">
        <f>20000</f>
        <v>20000</v>
      </c>
      <c r="D75" s="6"/>
      <c r="E75" s="90"/>
      <c r="F75" s="6"/>
      <c r="G75" s="6"/>
      <c r="H75" s="6"/>
      <c r="I75" s="6"/>
      <c r="J75" s="90"/>
      <c r="K75" s="90"/>
      <c r="L75" s="6"/>
      <c r="M75" s="6"/>
      <c r="N75" s="6"/>
      <c r="T75" s="17"/>
    </row>
    <row r="76" spans="1:20" hidden="1" x14ac:dyDescent="0.2">
      <c r="A76" s="16" t="s">
        <v>191</v>
      </c>
      <c r="B76" s="16"/>
      <c r="C76" s="12">
        <v>0</v>
      </c>
      <c r="D76" s="11"/>
      <c r="E76" s="90"/>
      <c r="F76" s="6"/>
      <c r="G76" s="6"/>
      <c r="H76" s="6"/>
      <c r="I76" s="6"/>
      <c r="J76" s="90"/>
      <c r="K76" s="90"/>
      <c r="L76" s="6"/>
      <c r="M76" s="6"/>
      <c r="N76" s="6"/>
      <c r="T76" s="17"/>
    </row>
    <row r="77" spans="1:20" x14ac:dyDescent="0.2">
      <c r="A77" s="16" t="s">
        <v>194</v>
      </c>
      <c r="B77" s="16"/>
      <c r="C77" s="12">
        <f>300000+150000+300000+300000+300000+175000+50000</f>
        <v>1575000</v>
      </c>
      <c r="D77" s="11"/>
      <c r="E77" s="90"/>
      <c r="F77" s="6"/>
      <c r="G77" s="6"/>
      <c r="H77" s="6"/>
      <c r="I77" s="6"/>
      <c r="J77" s="90"/>
      <c r="K77" s="90"/>
      <c r="L77" s="6"/>
      <c r="M77" s="6"/>
      <c r="N77" s="6"/>
      <c r="T77" s="17"/>
    </row>
    <row r="78" spans="1:20" x14ac:dyDescent="0.2">
      <c r="A78" s="16" t="s">
        <v>135</v>
      </c>
      <c r="B78" s="16"/>
      <c r="C78" s="12">
        <f>8500+30000+100000+66000+26224+17483+52100+61700</f>
        <v>362007</v>
      </c>
      <c r="D78" s="11"/>
      <c r="E78" s="90"/>
      <c r="F78" s="6"/>
      <c r="G78" s="6"/>
      <c r="H78" s="6"/>
      <c r="I78" s="6"/>
      <c r="J78" s="90"/>
      <c r="K78" s="90"/>
      <c r="L78" s="6"/>
      <c r="M78" s="6"/>
      <c r="N78" s="6"/>
      <c r="T78" s="17"/>
    </row>
    <row r="79" spans="1:20" x14ac:dyDescent="0.2">
      <c r="A79" s="16" t="s">
        <v>195</v>
      </c>
      <c r="B79" s="16"/>
      <c r="C79" s="12">
        <f>75000+224450+73720+3500+70000</f>
        <v>446670</v>
      </c>
      <c r="D79" s="11"/>
      <c r="E79" s="90"/>
      <c r="F79" s="6"/>
      <c r="G79" s="6"/>
      <c r="H79" s="6"/>
      <c r="I79" s="6"/>
      <c r="J79" s="90"/>
      <c r="K79" s="90"/>
      <c r="L79" s="6"/>
      <c r="M79" s="6"/>
      <c r="N79" s="6"/>
      <c r="T79" s="17"/>
    </row>
    <row r="80" spans="1:20" x14ac:dyDescent="0.2">
      <c r="A80" s="16" t="s">
        <v>193</v>
      </c>
      <c r="B80" s="16"/>
      <c r="C80" s="12">
        <f>40000+135500+36800</f>
        <v>212300</v>
      </c>
      <c r="D80" s="11"/>
      <c r="E80" s="90"/>
      <c r="F80" s="6"/>
      <c r="G80" s="6"/>
      <c r="H80" s="6"/>
      <c r="I80" s="6"/>
      <c r="J80" s="90"/>
      <c r="K80" s="90"/>
      <c r="L80" s="6"/>
      <c r="M80" s="6"/>
      <c r="N80" s="6"/>
      <c r="T80" s="17"/>
    </row>
    <row r="81" spans="1:20" hidden="1" x14ac:dyDescent="0.2">
      <c r="A81" s="16" t="s">
        <v>176</v>
      </c>
      <c r="B81" s="16"/>
      <c r="C81" s="12">
        <v>0</v>
      </c>
      <c r="D81" s="6"/>
      <c r="E81" s="90"/>
      <c r="F81" s="6"/>
      <c r="G81" s="6"/>
      <c r="H81" s="6"/>
      <c r="I81" s="6"/>
      <c r="J81" s="90"/>
      <c r="K81" s="90"/>
      <c r="L81" s="6"/>
      <c r="M81" s="6"/>
      <c r="N81" s="6"/>
      <c r="T81" s="17"/>
    </row>
    <row r="82" spans="1:20" hidden="1" x14ac:dyDescent="0.2">
      <c r="A82" s="16" t="s">
        <v>332</v>
      </c>
      <c r="B82" s="16"/>
      <c r="C82" s="12">
        <v>0</v>
      </c>
      <c r="D82" s="6"/>
      <c r="E82" s="90"/>
      <c r="F82" s="6"/>
      <c r="G82" s="6"/>
      <c r="H82" s="6"/>
      <c r="I82" s="6"/>
      <c r="J82" s="90"/>
      <c r="K82" s="90"/>
      <c r="L82" s="6"/>
      <c r="M82" s="6"/>
      <c r="N82" s="6"/>
      <c r="T82" s="17"/>
    </row>
    <row r="83" spans="1:20" hidden="1" x14ac:dyDescent="0.2">
      <c r="A83" s="16" t="s">
        <v>226</v>
      </c>
      <c r="B83" s="16"/>
      <c r="C83" s="12">
        <v>0</v>
      </c>
      <c r="D83" s="6"/>
      <c r="E83" s="90"/>
      <c r="F83" s="6"/>
      <c r="G83" s="6"/>
      <c r="H83" s="6"/>
      <c r="I83" s="6"/>
      <c r="J83" s="90"/>
      <c r="K83" s="90"/>
      <c r="L83" s="6"/>
      <c r="M83" s="6"/>
      <c r="N83" s="6"/>
      <c r="T83" s="17"/>
    </row>
    <row r="84" spans="1:20" hidden="1" x14ac:dyDescent="0.2">
      <c r="A84" s="16" t="s">
        <v>246</v>
      </c>
      <c r="B84" s="16"/>
      <c r="C84" s="12">
        <v>0</v>
      </c>
      <c r="D84" s="6"/>
      <c r="E84" s="90"/>
      <c r="F84" s="6"/>
      <c r="G84" s="6"/>
      <c r="H84" s="6"/>
      <c r="I84" s="6"/>
      <c r="J84" s="90"/>
      <c r="K84" s="90"/>
      <c r="L84" s="6"/>
      <c r="M84" s="6"/>
      <c r="N84" s="6"/>
      <c r="T84" s="17"/>
    </row>
    <row r="85" spans="1:20" x14ac:dyDescent="0.2">
      <c r="A85" s="16" t="s">
        <v>168</v>
      </c>
      <c r="B85" s="16"/>
      <c r="C85" s="12">
        <f>44000</f>
        <v>44000</v>
      </c>
      <c r="D85" s="11"/>
      <c r="E85" s="12"/>
      <c r="F85" s="6"/>
      <c r="G85" s="6"/>
      <c r="H85" s="6"/>
      <c r="I85" s="6"/>
      <c r="J85" s="90"/>
      <c r="K85" s="90"/>
      <c r="L85" s="6"/>
      <c r="M85" s="6"/>
      <c r="N85" s="6"/>
      <c r="T85" s="17"/>
    </row>
    <row r="86" spans="1:20" hidden="1" x14ac:dyDescent="0.2">
      <c r="A86" s="16" t="s">
        <v>212</v>
      </c>
      <c r="B86" s="16"/>
      <c r="C86" s="12">
        <v>0</v>
      </c>
      <c r="D86" s="11"/>
      <c r="E86" s="90"/>
      <c r="F86" s="6"/>
      <c r="G86" s="6"/>
      <c r="H86" s="6"/>
      <c r="I86" s="6"/>
      <c r="J86" s="90"/>
      <c r="K86" s="90"/>
      <c r="L86" s="6"/>
      <c r="M86" s="6"/>
      <c r="N86" s="6"/>
      <c r="T86" s="17"/>
    </row>
    <row r="87" spans="1:20" hidden="1" x14ac:dyDescent="0.2">
      <c r="A87" s="16" t="s">
        <v>301</v>
      </c>
      <c r="B87" s="16"/>
      <c r="C87" s="12">
        <v>0</v>
      </c>
      <c r="D87" s="11"/>
      <c r="E87" s="90"/>
      <c r="F87" s="6"/>
      <c r="G87" s="6"/>
      <c r="H87" s="6"/>
      <c r="I87" s="6"/>
      <c r="J87" s="90"/>
      <c r="K87" s="90"/>
      <c r="L87" s="6"/>
      <c r="M87" s="6"/>
      <c r="N87" s="6"/>
      <c r="T87" s="17"/>
    </row>
    <row r="88" spans="1:20" hidden="1" x14ac:dyDescent="0.2">
      <c r="A88" s="16" t="s">
        <v>178</v>
      </c>
      <c r="B88" s="16"/>
      <c r="C88" s="12">
        <v>0</v>
      </c>
      <c r="D88" s="11"/>
      <c r="E88" s="90"/>
      <c r="F88" s="25"/>
      <c r="G88" s="6"/>
      <c r="H88" s="6"/>
      <c r="I88" s="6"/>
      <c r="J88" s="90"/>
      <c r="K88" s="90"/>
      <c r="L88" s="6"/>
      <c r="M88" s="6"/>
      <c r="N88" s="6"/>
      <c r="T88" s="17"/>
    </row>
    <row r="89" spans="1:20" x14ac:dyDescent="0.2">
      <c r="A89" s="16" t="s">
        <v>250</v>
      </c>
      <c r="B89" s="16"/>
      <c r="C89" s="141">
        <v>-7956143</v>
      </c>
      <c r="D89" s="6"/>
      <c r="E89" s="90"/>
      <c r="F89" s="25"/>
      <c r="G89" s="6"/>
      <c r="H89" s="6"/>
      <c r="I89" s="6"/>
      <c r="J89" s="90"/>
      <c r="K89" s="90"/>
      <c r="L89" s="6"/>
      <c r="M89" s="6"/>
      <c r="N89" s="6"/>
      <c r="T89" s="17"/>
    </row>
    <row r="90" spans="1:20" s="2" customFormat="1" x14ac:dyDescent="0.2">
      <c r="C90" s="125" t="s">
        <v>104</v>
      </c>
      <c r="D90" s="126">
        <f>SUM(C22:C89)</f>
        <v>32335928</v>
      </c>
      <c r="E90" s="88"/>
      <c r="J90" s="88"/>
      <c r="K90" s="88"/>
    </row>
    <row r="91" spans="1:20" x14ac:dyDescent="0.2">
      <c r="D91" s="84"/>
    </row>
    <row r="92" spans="1:20" x14ac:dyDescent="0.2">
      <c r="B92" s="2"/>
      <c r="C92" s="4" t="s">
        <v>314</v>
      </c>
      <c r="D92" s="126">
        <f>D8+D19-D90</f>
        <v>2254639</v>
      </c>
    </row>
    <row r="93" spans="1:20" x14ac:dyDescent="0.2">
      <c r="D93" s="16"/>
    </row>
    <row r="94" spans="1:20" x14ac:dyDescent="0.2">
      <c r="D94" s="17"/>
    </row>
    <row r="95" spans="1:20" x14ac:dyDescent="0.2">
      <c r="D95" s="163"/>
    </row>
    <row r="96" spans="1:20" x14ac:dyDescent="0.2">
      <c r="C96" s="144"/>
      <c r="D96" s="17"/>
    </row>
    <row r="97" spans="1:11" x14ac:dyDescent="0.2">
      <c r="C97" s="144"/>
      <c r="D97" s="17"/>
    </row>
    <row r="98" spans="1:11" x14ac:dyDescent="0.2">
      <c r="C98" s="144"/>
      <c r="D98" s="17"/>
    </row>
    <row r="99" spans="1:11" x14ac:dyDescent="0.2">
      <c r="D99" s="16"/>
    </row>
    <row r="100" spans="1:11" s="6" customFormat="1" x14ac:dyDescent="0.2">
      <c r="C100" s="12"/>
      <c r="D100" s="11"/>
      <c r="E100" s="90"/>
      <c r="J100" s="90"/>
      <c r="K100" s="90"/>
    </row>
    <row r="101" spans="1:11" s="2" customFormat="1" x14ac:dyDescent="0.2">
      <c r="A101" s="2" t="s">
        <v>35</v>
      </c>
      <c r="C101" s="7"/>
      <c r="D101" s="130"/>
      <c r="E101" s="88"/>
      <c r="J101" s="88"/>
      <c r="K101" s="88"/>
    </row>
    <row r="102" spans="1:11" x14ac:dyDescent="0.2">
      <c r="A102" s="8" t="s">
        <v>37</v>
      </c>
      <c r="C102" s="19"/>
      <c r="D102" s="16"/>
    </row>
    <row r="103" spans="1:11" x14ac:dyDescent="0.2">
      <c r="A103" s="8" t="s">
        <v>60</v>
      </c>
      <c r="C103" s="20"/>
    </row>
  </sheetData>
  <mergeCells count="4">
    <mergeCell ref="A1:D1"/>
    <mergeCell ref="A2:D2"/>
    <mergeCell ref="A3:D3"/>
    <mergeCell ref="A4:D4"/>
  </mergeCells>
  <phoneticPr fontId="22" type="noConversion"/>
  <printOptions horizontalCentered="1" verticalCentered="1"/>
  <pageMargins left="0.78740157480314965" right="0.78740157480314965" top="0.78740157480314965" bottom="0.78740157480314965" header="0.31496062992125984" footer="0.31496062992125984"/>
  <pageSetup scale="95" orientation="portrait" horizontalDpi="4294967292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H86" sqref="H86"/>
    </sheetView>
  </sheetViews>
  <sheetFormatPr baseColWidth="10" defaultColWidth="11.42578125" defaultRowHeight="12" x14ac:dyDescent="0.2"/>
  <cols>
    <col min="1" max="1" width="8.42578125" style="97" customWidth="1"/>
    <col min="2" max="2" width="6.7109375" style="111" customWidth="1"/>
    <col min="3" max="3" width="32.140625" style="97" customWidth="1"/>
    <col min="4" max="4" width="10" style="109" bestFit="1" customWidth="1"/>
    <col min="5" max="6" width="9.85546875" style="109" customWidth="1"/>
    <col min="7" max="7" width="9.42578125" style="109" hidden="1" customWidth="1"/>
    <col min="8" max="8" width="9.85546875" style="109" customWidth="1"/>
    <col min="9" max="16384" width="11.42578125" style="97"/>
  </cols>
  <sheetData>
    <row r="1" spans="1:8" x14ac:dyDescent="0.2">
      <c r="A1" s="300" t="s">
        <v>61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0" t="s">
        <v>62</v>
      </c>
      <c r="B2" s="300"/>
      <c r="C2" s="300"/>
      <c r="D2" s="300"/>
      <c r="E2" s="300"/>
      <c r="F2" s="300"/>
      <c r="G2" s="300"/>
      <c r="H2" s="300"/>
    </row>
    <row r="3" spans="1:8" s="98" customFormat="1" x14ac:dyDescent="0.2">
      <c r="A3" s="300" t="s">
        <v>312</v>
      </c>
      <c r="B3" s="300"/>
      <c r="C3" s="300"/>
      <c r="D3" s="300"/>
      <c r="E3" s="300"/>
      <c r="F3" s="300"/>
      <c r="G3" s="300"/>
      <c r="H3" s="300"/>
    </row>
    <row r="5" spans="1:8" s="102" customFormat="1" ht="23.25" customHeight="1" x14ac:dyDescent="0.2">
      <c r="A5" s="129" t="s">
        <v>160</v>
      </c>
      <c r="B5" s="129" t="s">
        <v>161</v>
      </c>
      <c r="C5" s="129" t="s">
        <v>164</v>
      </c>
      <c r="D5" s="129" t="s">
        <v>162</v>
      </c>
      <c r="E5" s="129" t="s">
        <v>163</v>
      </c>
      <c r="F5" s="129" t="s">
        <v>166</v>
      </c>
      <c r="G5" s="129" t="s">
        <v>308</v>
      </c>
      <c r="H5" s="129" t="s">
        <v>3</v>
      </c>
    </row>
    <row r="6" spans="1:8" x14ac:dyDescent="0.2">
      <c r="A6" s="165">
        <v>41639</v>
      </c>
      <c r="B6" s="85">
        <v>101</v>
      </c>
      <c r="C6" s="103" t="s">
        <v>156</v>
      </c>
      <c r="D6" s="104">
        <v>1200</v>
      </c>
      <c r="E6" s="105"/>
      <c r="F6" s="105"/>
      <c r="G6" s="105"/>
      <c r="H6" s="106">
        <f t="shared" ref="H6:H37" si="0">SUM(D6:G6)</f>
        <v>1200</v>
      </c>
    </row>
    <row r="7" spans="1:8" hidden="1" x14ac:dyDescent="0.2">
      <c r="A7" s="165">
        <v>41639</v>
      </c>
      <c r="B7" s="85">
        <v>102</v>
      </c>
      <c r="C7" s="137" t="s">
        <v>210</v>
      </c>
      <c r="D7" s="104"/>
      <c r="E7" s="105"/>
      <c r="F7" s="105"/>
      <c r="G7" s="105"/>
      <c r="H7" s="106">
        <f t="shared" si="0"/>
        <v>0</v>
      </c>
    </row>
    <row r="8" spans="1:8" hidden="1" x14ac:dyDescent="0.2">
      <c r="A8" s="165">
        <v>41639</v>
      </c>
      <c r="B8" s="85">
        <v>201</v>
      </c>
      <c r="C8" s="137" t="s">
        <v>285</v>
      </c>
      <c r="D8" s="104"/>
      <c r="E8" s="105"/>
      <c r="F8" s="105"/>
      <c r="G8" s="105"/>
      <c r="H8" s="106">
        <f t="shared" si="0"/>
        <v>0</v>
      </c>
    </row>
    <row r="9" spans="1:8" hidden="1" x14ac:dyDescent="0.2">
      <c r="A9" s="165">
        <v>41639</v>
      </c>
      <c r="B9" s="85">
        <v>202</v>
      </c>
      <c r="C9" s="137" t="s">
        <v>247</v>
      </c>
      <c r="D9" s="104"/>
      <c r="E9" s="105"/>
      <c r="F9" s="105"/>
      <c r="G9" s="105"/>
      <c r="H9" s="106">
        <f t="shared" si="0"/>
        <v>0</v>
      </c>
    </row>
    <row r="10" spans="1:8" hidden="1" x14ac:dyDescent="0.2">
      <c r="A10" s="165">
        <v>41639</v>
      </c>
      <c r="B10" s="85">
        <v>203</v>
      </c>
      <c r="C10" s="137" t="s">
        <v>309</v>
      </c>
      <c r="D10" s="104"/>
      <c r="E10" s="105"/>
      <c r="F10" s="105"/>
      <c r="G10" s="105"/>
      <c r="H10" s="106">
        <f t="shared" si="0"/>
        <v>0</v>
      </c>
    </row>
    <row r="11" spans="1:8" x14ac:dyDescent="0.2">
      <c r="A11" s="165">
        <v>41639</v>
      </c>
      <c r="B11" s="85">
        <v>301</v>
      </c>
      <c r="C11" s="103" t="s">
        <v>157</v>
      </c>
      <c r="D11" s="104"/>
      <c r="E11" s="105">
        <v>2200</v>
      </c>
      <c r="F11" s="105"/>
      <c r="G11" s="105"/>
      <c r="H11" s="106">
        <f t="shared" si="0"/>
        <v>2200</v>
      </c>
    </row>
    <row r="12" spans="1:8" hidden="1" x14ac:dyDescent="0.2">
      <c r="A12" s="165">
        <v>41639</v>
      </c>
      <c r="B12" s="85">
        <v>302</v>
      </c>
      <c r="C12" s="103" t="s">
        <v>204</v>
      </c>
      <c r="D12" s="104"/>
      <c r="E12" s="105"/>
      <c r="F12" s="105"/>
      <c r="G12" s="105"/>
      <c r="H12" s="106">
        <f t="shared" si="0"/>
        <v>0</v>
      </c>
    </row>
    <row r="13" spans="1:8" hidden="1" x14ac:dyDescent="0.2">
      <c r="A13" s="165">
        <v>41639</v>
      </c>
      <c r="B13" s="85">
        <v>303</v>
      </c>
      <c r="C13" s="137" t="s">
        <v>237</v>
      </c>
      <c r="D13" s="104"/>
      <c r="E13" s="105"/>
      <c r="F13" s="105"/>
      <c r="G13" s="105"/>
      <c r="H13" s="106">
        <f t="shared" si="0"/>
        <v>0</v>
      </c>
    </row>
    <row r="14" spans="1:8" x14ac:dyDescent="0.2">
      <c r="A14" s="165">
        <v>41639</v>
      </c>
      <c r="B14" s="85">
        <v>401</v>
      </c>
      <c r="C14" s="103" t="s">
        <v>158</v>
      </c>
      <c r="D14" s="104"/>
      <c r="E14" s="105">
        <v>5400</v>
      </c>
      <c r="F14" s="105"/>
      <c r="G14" s="105"/>
      <c r="H14" s="106">
        <f t="shared" si="0"/>
        <v>5400</v>
      </c>
    </row>
    <row r="15" spans="1:8" hidden="1" x14ac:dyDescent="0.2">
      <c r="A15" s="165">
        <v>41639</v>
      </c>
      <c r="B15" s="85">
        <v>402</v>
      </c>
      <c r="C15" s="103" t="s">
        <v>221</v>
      </c>
      <c r="D15" s="104"/>
      <c r="E15" s="105"/>
      <c r="F15" s="105"/>
      <c r="G15" s="105"/>
      <c r="H15" s="106">
        <f t="shared" si="0"/>
        <v>0</v>
      </c>
    </row>
    <row r="16" spans="1:8" x14ac:dyDescent="0.2">
      <c r="A16" s="165">
        <v>41639</v>
      </c>
      <c r="B16" s="85">
        <v>403</v>
      </c>
      <c r="C16" s="103" t="s">
        <v>159</v>
      </c>
      <c r="D16" s="104">
        <v>377300</v>
      </c>
      <c r="E16" s="105"/>
      <c r="F16" s="105"/>
      <c r="G16" s="105"/>
      <c r="H16" s="106">
        <f t="shared" si="0"/>
        <v>377300</v>
      </c>
    </row>
    <row r="17" spans="1:8" hidden="1" x14ac:dyDescent="0.2">
      <c r="A17" s="165">
        <v>41639</v>
      </c>
      <c r="B17" s="85">
        <v>501</v>
      </c>
      <c r="C17" s="137" t="s">
        <v>300</v>
      </c>
      <c r="D17" s="104"/>
      <c r="E17" s="105"/>
      <c r="F17" s="105"/>
      <c r="G17" s="105"/>
      <c r="H17" s="106">
        <f t="shared" si="0"/>
        <v>0</v>
      </c>
    </row>
    <row r="18" spans="1:8" hidden="1" x14ac:dyDescent="0.2">
      <c r="A18" s="165">
        <v>41639</v>
      </c>
      <c r="B18" s="85">
        <v>502</v>
      </c>
      <c r="C18" s="137" t="s">
        <v>286</v>
      </c>
      <c r="D18" s="104"/>
      <c r="E18" s="105"/>
      <c r="F18" s="105"/>
      <c r="G18" s="105"/>
      <c r="H18" s="106">
        <f t="shared" si="0"/>
        <v>0</v>
      </c>
    </row>
    <row r="19" spans="1:8" hidden="1" x14ac:dyDescent="0.2">
      <c r="A19" s="165">
        <v>41639</v>
      </c>
      <c r="B19" s="85">
        <v>503</v>
      </c>
      <c r="C19" s="137" t="s">
        <v>248</v>
      </c>
      <c r="D19" s="104"/>
      <c r="E19" s="105"/>
      <c r="F19" s="105"/>
      <c r="G19" s="105"/>
      <c r="H19" s="106">
        <f t="shared" si="0"/>
        <v>0</v>
      </c>
    </row>
    <row r="20" spans="1:8" x14ac:dyDescent="0.2">
      <c r="A20" s="165">
        <v>41639</v>
      </c>
      <c r="B20" s="85">
        <v>601</v>
      </c>
      <c r="C20" s="103" t="s">
        <v>222</v>
      </c>
      <c r="D20" s="104"/>
      <c r="E20" s="105">
        <v>1700</v>
      </c>
      <c r="F20" s="105"/>
      <c r="G20" s="105"/>
      <c r="H20" s="106">
        <f t="shared" si="0"/>
        <v>1700</v>
      </c>
    </row>
    <row r="21" spans="1:8" x14ac:dyDescent="0.2">
      <c r="A21" s="165">
        <v>41639</v>
      </c>
      <c r="B21" s="85">
        <v>602</v>
      </c>
      <c r="C21" s="103" t="s">
        <v>186</v>
      </c>
      <c r="D21" s="104">
        <v>782000</v>
      </c>
      <c r="E21" s="105">
        <v>5100</v>
      </c>
      <c r="F21" s="105"/>
      <c r="G21" s="105"/>
      <c r="H21" s="106">
        <f t="shared" si="0"/>
        <v>787100</v>
      </c>
    </row>
    <row r="22" spans="1:8" hidden="1" x14ac:dyDescent="0.2">
      <c r="A22" s="165">
        <v>41639</v>
      </c>
      <c r="B22" s="85">
        <v>603</v>
      </c>
      <c r="C22" s="137" t="s">
        <v>230</v>
      </c>
      <c r="D22" s="104"/>
      <c r="E22" s="105"/>
      <c r="F22" s="105"/>
      <c r="G22" s="105"/>
      <c r="H22" s="106">
        <f t="shared" si="0"/>
        <v>0</v>
      </c>
    </row>
    <row r="23" spans="1:8" hidden="1" x14ac:dyDescent="0.2">
      <c r="A23" s="165">
        <v>41639</v>
      </c>
      <c r="B23" s="85">
        <v>701</v>
      </c>
      <c r="C23" s="137" t="s">
        <v>233</v>
      </c>
      <c r="D23" s="104"/>
      <c r="E23" s="105"/>
      <c r="F23" s="105"/>
      <c r="G23" s="105"/>
      <c r="H23" s="106">
        <f t="shared" si="0"/>
        <v>0</v>
      </c>
    </row>
    <row r="24" spans="1:8" x14ac:dyDescent="0.2">
      <c r="A24" s="165">
        <v>41639</v>
      </c>
      <c r="B24" s="85">
        <v>702</v>
      </c>
      <c r="C24" s="103" t="s">
        <v>207</v>
      </c>
      <c r="D24" s="104"/>
      <c r="E24" s="105">
        <v>1560</v>
      </c>
      <c r="F24" s="105"/>
      <c r="G24" s="105"/>
      <c r="H24" s="106">
        <f t="shared" si="0"/>
        <v>1560</v>
      </c>
    </row>
    <row r="25" spans="1:8" ht="12" hidden="1" customHeight="1" x14ac:dyDescent="0.2">
      <c r="A25" s="165">
        <v>41639</v>
      </c>
      <c r="B25" s="85">
        <v>703</v>
      </c>
      <c r="C25" s="137" t="s">
        <v>225</v>
      </c>
      <c r="D25" s="104"/>
      <c r="E25" s="105"/>
      <c r="F25" s="105"/>
      <c r="G25" s="105"/>
      <c r="H25" s="106">
        <f t="shared" si="0"/>
        <v>0</v>
      </c>
    </row>
    <row r="26" spans="1:8" ht="12" hidden="1" customHeight="1" x14ac:dyDescent="0.2">
      <c r="A26" s="165">
        <v>41639</v>
      </c>
      <c r="B26" s="85">
        <v>801</v>
      </c>
      <c r="C26" s="137" t="s">
        <v>260</v>
      </c>
      <c r="D26" s="104"/>
      <c r="E26" s="105"/>
      <c r="F26" s="105"/>
      <c r="G26" s="105"/>
      <c r="H26" s="106">
        <f t="shared" si="0"/>
        <v>0</v>
      </c>
    </row>
    <row r="27" spans="1:8" ht="12" hidden="1" customHeight="1" x14ac:dyDescent="0.2">
      <c r="A27" s="165">
        <v>41639</v>
      </c>
      <c r="B27" s="85">
        <v>802</v>
      </c>
      <c r="C27" s="137" t="s">
        <v>288</v>
      </c>
      <c r="D27" s="104"/>
      <c r="E27" s="105"/>
      <c r="F27" s="105"/>
      <c r="G27" s="105"/>
      <c r="H27" s="106">
        <f t="shared" si="0"/>
        <v>0</v>
      </c>
    </row>
    <row r="28" spans="1:8" ht="12" hidden="1" customHeight="1" x14ac:dyDescent="0.2">
      <c r="A28" s="165">
        <v>41639</v>
      </c>
      <c r="B28" s="85">
        <v>803</v>
      </c>
      <c r="C28" s="137" t="s">
        <v>208</v>
      </c>
      <c r="D28" s="104"/>
      <c r="E28" s="105"/>
      <c r="F28" s="105"/>
      <c r="G28" s="105"/>
      <c r="H28" s="106">
        <f t="shared" si="0"/>
        <v>0</v>
      </c>
    </row>
    <row r="29" spans="1:8" ht="11.25" hidden="1" customHeight="1" x14ac:dyDescent="0.2">
      <c r="A29" s="165">
        <v>41639</v>
      </c>
      <c r="B29" s="85">
        <v>901</v>
      </c>
      <c r="C29" s="137" t="s">
        <v>232</v>
      </c>
      <c r="D29" s="104"/>
      <c r="E29" s="105"/>
      <c r="F29" s="105"/>
      <c r="G29" s="105"/>
      <c r="H29" s="106">
        <f t="shared" si="0"/>
        <v>0</v>
      </c>
    </row>
    <row r="30" spans="1:8" ht="12" hidden="1" customHeight="1" x14ac:dyDescent="0.2">
      <c r="A30" s="165">
        <v>41639</v>
      </c>
      <c r="B30" s="85">
        <v>902</v>
      </c>
      <c r="C30" s="137" t="s">
        <v>231</v>
      </c>
      <c r="D30" s="104"/>
      <c r="E30" s="105"/>
      <c r="F30" s="105"/>
      <c r="G30" s="105"/>
      <c r="H30" s="106">
        <f t="shared" si="0"/>
        <v>0</v>
      </c>
    </row>
    <row r="31" spans="1:8" ht="12" hidden="1" customHeight="1" x14ac:dyDescent="0.2">
      <c r="A31" s="165">
        <v>41639</v>
      </c>
      <c r="B31" s="85">
        <v>903</v>
      </c>
      <c r="C31" s="137" t="s">
        <v>287</v>
      </c>
      <c r="D31" s="104"/>
      <c r="E31" s="105"/>
      <c r="F31" s="105"/>
      <c r="G31" s="105"/>
      <c r="H31" s="106">
        <f t="shared" si="0"/>
        <v>0</v>
      </c>
    </row>
    <row r="32" spans="1:8" ht="12" hidden="1" customHeight="1" x14ac:dyDescent="0.2">
      <c r="A32" s="165">
        <v>41639</v>
      </c>
      <c r="B32" s="85">
        <v>1001</v>
      </c>
      <c r="C32" s="103" t="s">
        <v>203</v>
      </c>
      <c r="D32" s="104"/>
      <c r="E32" s="105"/>
      <c r="F32" s="105"/>
      <c r="G32" s="105"/>
      <c r="H32" s="106">
        <f t="shared" si="0"/>
        <v>0</v>
      </c>
    </row>
    <row r="33" spans="1:8" ht="12" hidden="1" customHeight="1" x14ac:dyDescent="0.2">
      <c r="A33" s="165">
        <v>41639</v>
      </c>
      <c r="B33" s="85">
        <v>1002</v>
      </c>
      <c r="C33" s="137" t="s">
        <v>268</v>
      </c>
      <c r="D33" s="104"/>
      <c r="E33" s="105"/>
      <c r="F33" s="105"/>
      <c r="G33" s="105"/>
      <c r="H33" s="106">
        <f t="shared" si="0"/>
        <v>0</v>
      </c>
    </row>
    <row r="34" spans="1:8" ht="12" hidden="1" customHeight="1" x14ac:dyDescent="0.2">
      <c r="A34" s="165">
        <v>41639</v>
      </c>
      <c r="B34" s="85">
        <v>1101</v>
      </c>
      <c r="C34" s="137" t="s">
        <v>223</v>
      </c>
      <c r="D34" s="104"/>
      <c r="E34" s="105"/>
      <c r="F34" s="105"/>
      <c r="G34" s="105"/>
      <c r="H34" s="106">
        <f t="shared" si="0"/>
        <v>0</v>
      </c>
    </row>
    <row r="35" spans="1:8" ht="12" hidden="1" customHeight="1" x14ac:dyDescent="0.2">
      <c r="A35" s="165">
        <v>41639</v>
      </c>
      <c r="B35" s="85">
        <v>1102</v>
      </c>
      <c r="C35" s="103" t="s">
        <v>205</v>
      </c>
      <c r="D35" s="104"/>
      <c r="E35" s="105"/>
      <c r="F35" s="105"/>
      <c r="G35" s="105"/>
      <c r="H35" s="106">
        <f t="shared" si="0"/>
        <v>0</v>
      </c>
    </row>
    <row r="36" spans="1:8" ht="12" hidden="1" customHeight="1" x14ac:dyDescent="0.2">
      <c r="A36" s="165">
        <v>41639</v>
      </c>
      <c r="B36" s="85">
        <v>1201</v>
      </c>
      <c r="C36" s="103" t="s">
        <v>179</v>
      </c>
      <c r="D36" s="104"/>
      <c r="E36" s="105"/>
      <c r="F36" s="105"/>
      <c r="G36" s="105"/>
      <c r="H36" s="106">
        <f t="shared" si="0"/>
        <v>0</v>
      </c>
    </row>
    <row r="37" spans="1:8" ht="12" hidden="1" customHeight="1" x14ac:dyDescent="0.2">
      <c r="A37" s="165">
        <v>41639</v>
      </c>
      <c r="B37" s="85">
        <v>1202</v>
      </c>
      <c r="C37" s="137" t="s">
        <v>229</v>
      </c>
      <c r="D37" s="104"/>
      <c r="E37" s="105"/>
      <c r="F37" s="105"/>
      <c r="G37" s="105"/>
      <c r="H37" s="106">
        <f t="shared" si="0"/>
        <v>0</v>
      </c>
    </row>
    <row r="38" spans="1:8" x14ac:dyDescent="0.2">
      <c r="A38" s="107" t="s">
        <v>151</v>
      </c>
      <c r="B38" s="108"/>
      <c r="C38" s="108"/>
      <c r="D38" s="106">
        <f>SUM(D6:D37)</f>
        <v>1160500</v>
      </c>
      <c r="E38" s="106">
        <f>SUM(E6:E37)</f>
        <v>15960</v>
      </c>
      <c r="F38" s="106">
        <f>SUM(F6:F37)</f>
        <v>0</v>
      </c>
      <c r="G38" s="106">
        <f>SUM(G6:G37)</f>
        <v>0</v>
      </c>
      <c r="H38" s="106">
        <f t="shared" ref="H38" si="1">SUM(D38:G38)</f>
        <v>1176460</v>
      </c>
    </row>
    <row r="40" spans="1:8" x14ac:dyDescent="0.2">
      <c r="A40" s="118"/>
      <c r="B40" s="118"/>
      <c r="C40" s="118"/>
      <c r="D40" s="120"/>
    </row>
    <row r="41" spans="1:8" s="122" customFormat="1" x14ac:dyDescent="0.2">
      <c r="A41" s="123" t="s">
        <v>313</v>
      </c>
      <c r="B41" s="123"/>
      <c r="C41" s="123"/>
      <c r="D41" s="123"/>
      <c r="E41" s="121"/>
      <c r="F41" s="121"/>
      <c r="G41" s="121"/>
      <c r="H41" s="121"/>
    </row>
    <row r="42" spans="1:8" x14ac:dyDescent="0.2">
      <c r="A42" s="110"/>
    </row>
    <row r="43" spans="1:8" x14ac:dyDescent="0.2">
      <c r="A43" s="99" t="s">
        <v>160</v>
      </c>
      <c r="B43" s="99" t="s">
        <v>161</v>
      </c>
      <c r="C43" s="100" t="s">
        <v>164</v>
      </c>
      <c r="D43" s="101" t="s">
        <v>165</v>
      </c>
      <c r="E43" s="112"/>
      <c r="F43" s="112"/>
      <c r="G43" s="112"/>
      <c r="H43" s="112"/>
    </row>
    <row r="44" spans="1:8" hidden="1" x14ac:dyDescent="0.2">
      <c r="A44" s="164">
        <v>41639</v>
      </c>
      <c r="B44" s="85">
        <v>101</v>
      </c>
      <c r="C44" s="137" t="s">
        <v>156</v>
      </c>
      <c r="D44" s="131"/>
    </row>
    <row r="45" spans="1:8" x14ac:dyDescent="0.2">
      <c r="A45" s="164">
        <v>41639</v>
      </c>
      <c r="B45" s="85">
        <v>102</v>
      </c>
      <c r="C45" s="103" t="s">
        <v>210</v>
      </c>
      <c r="D45" s="104">
        <v>809000</v>
      </c>
    </row>
    <row r="46" spans="1:8" hidden="1" x14ac:dyDescent="0.2">
      <c r="A46" s="164">
        <v>41639</v>
      </c>
      <c r="B46" s="85">
        <v>202</v>
      </c>
      <c r="C46" s="137" t="s">
        <v>247</v>
      </c>
      <c r="D46" s="131"/>
    </row>
    <row r="47" spans="1:8" hidden="1" x14ac:dyDescent="0.2">
      <c r="A47" s="164">
        <v>41639</v>
      </c>
      <c r="B47" s="85">
        <v>203</v>
      </c>
      <c r="C47" s="103" t="s">
        <v>206</v>
      </c>
      <c r="D47" s="104"/>
    </row>
    <row r="48" spans="1:8" hidden="1" x14ac:dyDescent="0.2">
      <c r="A48" s="164">
        <v>41639</v>
      </c>
      <c r="B48" s="85">
        <v>301</v>
      </c>
      <c r="C48" s="137" t="s">
        <v>157</v>
      </c>
      <c r="D48" s="131"/>
    </row>
    <row r="49" spans="1:4" x14ac:dyDescent="0.2">
      <c r="A49" s="164">
        <v>41639</v>
      </c>
      <c r="B49" s="85">
        <v>302</v>
      </c>
      <c r="C49" s="137" t="s">
        <v>323</v>
      </c>
      <c r="D49" s="131">
        <v>200</v>
      </c>
    </row>
    <row r="50" spans="1:4" x14ac:dyDescent="0.2">
      <c r="A50" s="164">
        <v>41639</v>
      </c>
      <c r="B50" s="85">
        <v>603</v>
      </c>
      <c r="C50" s="137" t="s">
        <v>230</v>
      </c>
      <c r="D50" s="131">
        <v>9400</v>
      </c>
    </row>
    <row r="51" spans="1:4" hidden="1" x14ac:dyDescent="0.2">
      <c r="A51" s="164">
        <v>41639</v>
      </c>
      <c r="B51" s="85">
        <v>702</v>
      </c>
      <c r="C51" s="137" t="s">
        <v>207</v>
      </c>
      <c r="D51" s="131"/>
    </row>
    <row r="52" spans="1:4" hidden="1" x14ac:dyDescent="0.2">
      <c r="A52" s="164">
        <v>41639</v>
      </c>
      <c r="B52" s="85">
        <v>901</v>
      </c>
      <c r="C52" s="137" t="s">
        <v>257</v>
      </c>
      <c r="D52" s="131"/>
    </row>
    <row r="53" spans="1:4" hidden="1" x14ac:dyDescent="0.2">
      <c r="A53" s="164">
        <v>41639</v>
      </c>
      <c r="B53" s="85">
        <v>902</v>
      </c>
      <c r="C53" s="137" t="s">
        <v>231</v>
      </c>
      <c r="D53" s="131"/>
    </row>
    <row r="54" spans="1:4" hidden="1" x14ac:dyDescent="0.2">
      <c r="A54" s="164">
        <v>41639</v>
      </c>
      <c r="B54" s="85">
        <v>1001</v>
      </c>
      <c r="C54" s="137" t="s">
        <v>203</v>
      </c>
      <c r="D54" s="131"/>
    </row>
    <row r="55" spans="1:4" hidden="1" x14ac:dyDescent="0.2">
      <c r="A55" s="164">
        <v>41639</v>
      </c>
      <c r="B55" s="85">
        <v>1002</v>
      </c>
      <c r="C55" s="137" t="s">
        <v>268</v>
      </c>
      <c r="D55" s="131"/>
    </row>
    <row r="56" spans="1:4" x14ac:dyDescent="0.2">
      <c r="A56" s="164">
        <v>41639</v>
      </c>
      <c r="B56" s="85">
        <v>1101</v>
      </c>
      <c r="C56" s="137" t="s">
        <v>223</v>
      </c>
      <c r="D56" s="131">
        <v>19700</v>
      </c>
    </row>
    <row r="57" spans="1:4" hidden="1" x14ac:dyDescent="0.2">
      <c r="A57" s="164">
        <v>41639</v>
      </c>
      <c r="B57" s="85">
        <v>1102</v>
      </c>
      <c r="C57" s="103" t="s">
        <v>205</v>
      </c>
      <c r="D57" s="131"/>
    </row>
    <row r="58" spans="1:4" hidden="1" x14ac:dyDescent="0.2">
      <c r="A58" s="164">
        <v>41639</v>
      </c>
      <c r="B58" s="85">
        <v>1201</v>
      </c>
      <c r="C58" s="103" t="s">
        <v>179</v>
      </c>
      <c r="D58" s="131"/>
    </row>
    <row r="59" spans="1:4" hidden="1" x14ac:dyDescent="0.2">
      <c r="A59" s="164">
        <v>41639</v>
      </c>
      <c r="B59" s="85"/>
      <c r="C59" s="103" t="s">
        <v>209</v>
      </c>
      <c r="D59" s="131"/>
    </row>
    <row r="60" spans="1:4" hidden="1" x14ac:dyDescent="0.2">
      <c r="A60" s="164">
        <v>41608</v>
      </c>
      <c r="B60" s="85"/>
      <c r="C60" s="103" t="s">
        <v>209</v>
      </c>
      <c r="D60" s="131"/>
    </row>
    <row r="61" spans="1:4" x14ac:dyDescent="0.2">
      <c r="A61" s="305" t="s">
        <v>152</v>
      </c>
      <c r="B61" s="306"/>
      <c r="C61" s="307"/>
      <c r="D61" s="82">
        <f>SUM(D44:D60)</f>
        <v>838300</v>
      </c>
    </row>
    <row r="63" spans="1:4" hidden="1" x14ac:dyDescent="0.2">
      <c r="A63" s="123" t="s">
        <v>259</v>
      </c>
      <c r="B63" s="123"/>
      <c r="C63" s="123"/>
      <c r="D63" s="123"/>
    </row>
    <row r="64" spans="1:4" hidden="1" x14ac:dyDescent="0.2">
      <c r="A64" s="110"/>
    </row>
    <row r="65" spans="1:4" hidden="1" x14ac:dyDescent="0.2">
      <c r="A65" s="308" t="s">
        <v>160</v>
      </c>
      <c r="B65" s="309"/>
      <c r="C65" s="100" t="s">
        <v>174</v>
      </c>
      <c r="D65" s="101" t="s">
        <v>165</v>
      </c>
    </row>
    <row r="66" spans="1:4" hidden="1" x14ac:dyDescent="0.2">
      <c r="A66" s="298"/>
      <c r="B66" s="299"/>
      <c r="C66" s="137"/>
      <c r="D66" s="131"/>
    </row>
    <row r="67" spans="1:4" hidden="1" x14ac:dyDescent="0.2">
      <c r="A67" s="298"/>
      <c r="B67" s="299"/>
      <c r="C67" s="137"/>
      <c r="D67" s="104"/>
    </row>
    <row r="68" spans="1:4" hidden="1" x14ac:dyDescent="0.2">
      <c r="A68" s="298"/>
      <c r="B68" s="299"/>
      <c r="C68" s="137"/>
      <c r="D68" s="104"/>
    </row>
    <row r="69" spans="1:4" hidden="1" x14ac:dyDescent="0.2">
      <c r="A69" s="298"/>
      <c r="B69" s="299"/>
      <c r="C69" s="137"/>
      <c r="D69" s="104"/>
    </row>
    <row r="70" spans="1:4" hidden="1" x14ac:dyDescent="0.2">
      <c r="A70" s="298"/>
      <c r="B70" s="299"/>
      <c r="C70" s="137"/>
      <c r="D70" s="104"/>
    </row>
    <row r="71" spans="1:4" hidden="1" x14ac:dyDescent="0.2">
      <c r="A71" s="298"/>
      <c r="B71" s="299"/>
      <c r="C71" s="137"/>
      <c r="D71" s="131"/>
    </row>
    <row r="72" spans="1:4" ht="15" hidden="1" x14ac:dyDescent="0.25">
      <c r="A72" s="305" t="s">
        <v>175</v>
      </c>
      <c r="B72" s="310"/>
      <c r="C72" s="311"/>
      <c r="D72" s="106">
        <f>SUM(D66:D71)</f>
        <v>0</v>
      </c>
    </row>
    <row r="74" spans="1:4" x14ac:dyDescent="0.2">
      <c r="A74" s="302" t="s">
        <v>234</v>
      </c>
      <c r="B74" s="302"/>
      <c r="C74" s="302"/>
      <c r="D74" s="302"/>
    </row>
    <row r="76" spans="1:4" x14ac:dyDescent="0.2">
      <c r="A76" s="303" t="s">
        <v>160</v>
      </c>
      <c r="B76" s="304"/>
      <c r="C76" s="113" t="s">
        <v>174</v>
      </c>
      <c r="D76" s="114" t="s">
        <v>165</v>
      </c>
    </row>
    <row r="77" spans="1:4" hidden="1" x14ac:dyDescent="0.2">
      <c r="A77" s="298">
        <v>41639</v>
      </c>
      <c r="B77" s="299"/>
      <c r="C77" s="115" t="s">
        <v>258</v>
      </c>
      <c r="D77" s="105">
        <v>0</v>
      </c>
    </row>
    <row r="78" spans="1:4" hidden="1" x14ac:dyDescent="0.2">
      <c r="A78" s="298">
        <v>41639</v>
      </c>
      <c r="B78" s="299"/>
      <c r="C78" s="137" t="s">
        <v>310</v>
      </c>
      <c r="D78" s="105">
        <v>0</v>
      </c>
    </row>
    <row r="79" spans="1:4" x14ac:dyDescent="0.2">
      <c r="A79" s="298">
        <v>41639</v>
      </c>
      <c r="B79" s="299"/>
      <c r="C79" s="115" t="s">
        <v>311</v>
      </c>
      <c r="D79" s="105">
        <v>4460124</v>
      </c>
    </row>
    <row r="80" spans="1:4" x14ac:dyDescent="0.2">
      <c r="A80" s="298">
        <v>41639</v>
      </c>
      <c r="B80" s="299"/>
      <c r="C80" s="137" t="s">
        <v>367</v>
      </c>
      <c r="D80" s="105">
        <v>7956143</v>
      </c>
    </row>
    <row r="81" spans="1:4" hidden="1" x14ac:dyDescent="0.2">
      <c r="A81" s="298">
        <v>41639</v>
      </c>
      <c r="B81" s="299"/>
      <c r="C81" s="137"/>
      <c r="D81" s="104"/>
    </row>
    <row r="82" spans="1:4" x14ac:dyDescent="0.2">
      <c r="A82" s="305" t="s">
        <v>175</v>
      </c>
      <c r="B82" s="306"/>
      <c r="C82" s="307"/>
      <c r="D82" s="106">
        <f>SUM(D77:D81)</f>
        <v>12416267</v>
      </c>
    </row>
    <row r="83" spans="1:4" x14ac:dyDescent="0.2">
      <c r="A83" s="118"/>
      <c r="B83" s="118"/>
      <c r="C83" s="118"/>
      <c r="D83" s="119"/>
    </row>
    <row r="84" spans="1:4" x14ac:dyDescent="0.2">
      <c r="A84" s="118"/>
      <c r="B84" s="118"/>
      <c r="C84" s="118"/>
      <c r="D84" s="119"/>
    </row>
    <row r="85" spans="1:4" x14ac:dyDescent="0.2">
      <c r="A85" s="118"/>
      <c r="B85" s="118"/>
      <c r="C85" s="118"/>
      <c r="D85" s="119"/>
    </row>
    <row r="86" spans="1:4" x14ac:dyDescent="0.2">
      <c r="A86" s="118"/>
      <c r="B86" s="118"/>
      <c r="C86" s="118"/>
      <c r="D86" s="119"/>
    </row>
    <row r="92" spans="1:4" x14ac:dyDescent="0.2">
      <c r="A92" s="116"/>
      <c r="B92" s="117"/>
    </row>
    <row r="93" spans="1:4" x14ac:dyDescent="0.2">
      <c r="A93" s="134" t="s">
        <v>105</v>
      </c>
      <c r="B93" s="134"/>
    </row>
    <row r="94" spans="1:4" x14ac:dyDescent="0.2">
      <c r="A94" s="301" t="s">
        <v>37</v>
      </c>
      <c r="B94" s="301"/>
    </row>
  </sheetData>
  <sortState ref="A6:H31">
    <sortCondition ref="B6:B31"/>
  </sortState>
  <mergeCells count="21">
    <mergeCell ref="A94:B94"/>
    <mergeCell ref="A74:D74"/>
    <mergeCell ref="A76:B76"/>
    <mergeCell ref="A79:B79"/>
    <mergeCell ref="A61:C61"/>
    <mergeCell ref="A66:B66"/>
    <mergeCell ref="A67:B67"/>
    <mergeCell ref="A71:B71"/>
    <mergeCell ref="A65:B65"/>
    <mergeCell ref="A77:B77"/>
    <mergeCell ref="A78:B78"/>
    <mergeCell ref="A82:C82"/>
    <mergeCell ref="A72:C72"/>
    <mergeCell ref="A68:B68"/>
    <mergeCell ref="A70:B70"/>
    <mergeCell ref="A69:B69"/>
    <mergeCell ref="A81:B81"/>
    <mergeCell ref="A1:H1"/>
    <mergeCell ref="A2:H2"/>
    <mergeCell ref="A3:H3"/>
    <mergeCell ref="A80:B80"/>
  </mergeCells>
  <phoneticPr fontId="22" type="noConversion"/>
  <printOptions horizontalCentered="1"/>
  <pageMargins left="0.59055118110236227" right="0.59055118110236227" top="0.78740157480314965" bottom="0.78740157480314965" header="0.31496062992125984" footer="0.31496062992125984"/>
  <pageSetup orientation="portrait" horizontalDpi="4294967292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C5"/>
    </sheetView>
  </sheetViews>
  <sheetFormatPr baseColWidth="10" defaultColWidth="11.5703125" defaultRowHeight="15" x14ac:dyDescent="0.25"/>
  <cols>
    <col min="1" max="1" width="11.5703125" style="162"/>
    <col min="2" max="2" width="13.5703125" style="162" customWidth="1"/>
    <col min="3" max="3" width="12.7109375" style="162" bestFit="1" customWidth="1"/>
    <col min="4" max="16384" width="11.5703125" style="162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BG DICIEMBRE 2016</vt:lpstr>
      <vt:lpstr>ER DICIEMBRE 2016</vt:lpstr>
      <vt:lpstr>NOTAS</vt:lpstr>
      <vt:lpstr>BG COMPARATIVO</vt:lpstr>
      <vt:lpstr>ER COMPARATIVO</vt:lpstr>
      <vt:lpstr>PPTO DICIEMBRE 2013</vt:lpstr>
      <vt:lpstr>FC DICIEMBRE 2013</vt:lpstr>
      <vt:lpstr>CARTERA</vt:lpstr>
      <vt:lpstr>Hoja1</vt:lpstr>
      <vt:lpstr>'PPTO DICIEMBRE 2013'!Títulos_a_imprimir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SECCIONAL PACIFICO</cp:lastModifiedBy>
  <cp:lastPrinted>2014-10-14T20:05:00Z</cp:lastPrinted>
  <dcterms:created xsi:type="dcterms:W3CDTF">2011-04-25T20:28:39Z</dcterms:created>
  <dcterms:modified xsi:type="dcterms:W3CDTF">2017-01-23T16:42:37Z</dcterms:modified>
</cp:coreProperties>
</file>